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Amazon\"/>
    </mc:Choice>
  </mc:AlternateContent>
  <bookViews>
    <workbookView xWindow="10395" yWindow="-105" windowWidth="14850" windowHeight="12735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AP14" i="6" l="1"/>
  <c r="AH14" i="6"/>
  <c r="Z14" i="6"/>
  <c r="R14" i="6"/>
  <c r="J14" i="6"/>
  <c r="AP13" i="6"/>
  <c r="AH13" i="6"/>
  <c r="Z13" i="6"/>
  <c r="R13" i="6"/>
  <c r="J13" i="6"/>
  <c r="AP12" i="6"/>
  <c r="AH12" i="6"/>
  <c r="Z12" i="6"/>
  <c r="R12" i="6"/>
  <c r="J12" i="6"/>
  <c r="AP10" i="6"/>
  <c r="AH10" i="6"/>
  <c r="Z10" i="6"/>
  <c r="R10" i="6"/>
  <c r="J10" i="6"/>
  <c r="AP9" i="6"/>
  <c r="AH9" i="6"/>
  <c r="Z9" i="6"/>
  <c r="R9" i="6"/>
  <c r="J9" i="6"/>
  <c r="AP8" i="6"/>
  <c r="AH8" i="6"/>
  <c r="Z8" i="6"/>
  <c r="R8" i="6"/>
  <c r="J8" i="6"/>
  <c r="AP7" i="6"/>
  <c r="AH7" i="6"/>
  <c r="Z7" i="6"/>
  <c r="R7" i="6"/>
  <c r="J7" i="6"/>
  <c r="AP6" i="6"/>
  <c r="AH6" i="6"/>
  <c r="Z6" i="6"/>
  <c r="R6" i="6"/>
  <c r="J6" i="6"/>
  <c r="AP27" i="5"/>
  <c r="AH27" i="5"/>
  <c r="Z27" i="5"/>
  <c r="R27" i="5"/>
  <c r="J27" i="5"/>
  <c r="AP26" i="5"/>
  <c r="AH26" i="5"/>
  <c r="Z26" i="5"/>
  <c r="R26" i="5"/>
  <c r="J26" i="5"/>
  <c r="AP25" i="5"/>
  <c r="AH25" i="5"/>
  <c r="Z25" i="5"/>
  <c r="R25" i="5"/>
  <c r="J25" i="5"/>
  <c r="AP23" i="5"/>
  <c r="AH23" i="5"/>
  <c r="Z23" i="5"/>
  <c r="R23" i="5"/>
  <c r="J23" i="5"/>
  <c r="AP22" i="5"/>
  <c r="AH22" i="5"/>
  <c r="Z22" i="5"/>
  <c r="R22" i="5"/>
  <c r="J22" i="5"/>
  <c r="AP20" i="5"/>
  <c r="AH20" i="5"/>
  <c r="AO14" i="6"/>
  <c r="AG14" i="6"/>
  <c r="Y14" i="6"/>
  <c r="Q14" i="6"/>
  <c r="I14" i="6"/>
  <c r="AO13" i="6"/>
  <c r="AG13" i="6"/>
  <c r="Y13" i="6"/>
  <c r="Q13" i="6"/>
  <c r="I13" i="6"/>
  <c r="AO12" i="6"/>
  <c r="AG12" i="6"/>
  <c r="Y12" i="6"/>
  <c r="Q12" i="6"/>
  <c r="I12" i="6"/>
  <c r="AO10" i="6"/>
  <c r="AG10" i="6"/>
  <c r="Y10" i="6"/>
  <c r="Q10" i="6"/>
  <c r="I10" i="6"/>
  <c r="AO9" i="6"/>
  <c r="AG9" i="6"/>
  <c r="Y9" i="6"/>
  <c r="Q9" i="6"/>
  <c r="I9" i="6"/>
  <c r="AO8" i="6"/>
  <c r="AG8" i="6"/>
  <c r="Y8" i="6"/>
  <c r="Q8" i="6"/>
  <c r="I8" i="6"/>
  <c r="AO7" i="6"/>
  <c r="AG7" i="6"/>
  <c r="Y7" i="6"/>
  <c r="Q7" i="6"/>
  <c r="I7" i="6"/>
  <c r="AO6" i="6"/>
  <c r="AG6" i="6"/>
  <c r="Y6" i="6"/>
  <c r="Q6" i="6"/>
  <c r="I6" i="6"/>
  <c r="AO27" i="5"/>
  <c r="AG27" i="5"/>
  <c r="Y27" i="5"/>
  <c r="Q27" i="5"/>
  <c r="I27" i="5"/>
  <c r="AO26" i="5"/>
  <c r="AG26" i="5"/>
  <c r="Y26" i="5"/>
  <c r="Q26" i="5"/>
  <c r="I26" i="5"/>
  <c r="AO25" i="5"/>
  <c r="AG25" i="5"/>
  <c r="Y25" i="5"/>
  <c r="Q25" i="5"/>
  <c r="I25" i="5"/>
  <c r="AO23" i="5"/>
  <c r="AG23" i="5"/>
  <c r="Y23" i="5"/>
  <c r="Q23" i="5"/>
  <c r="I23" i="5"/>
  <c r="AO22" i="5"/>
  <c r="AG22" i="5"/>
  <c r="Y22" i="5"/>
  <c r="Q22" i="5"/>
  <c r="I22" i="5"/>
  <c r="AO20" i="5"/>
  <c r="AG20" i="5"/>
  <c r="Y20" i="5"/>
  <c r="Q20" i="5"/>
  <c r="I20" i="5"/>
  <c r="AO19" i="5"/>
  <c r="AG19" i="5"/>
  <c r="Y19" i="5"/>
  <c r="Q19" i="5"/>
  <c r="I19" i="5"/>
  <c r="AO18" i="5"/>
  <c r="AG18" i="5"/>
  <c r="Y18" i="5"/>
  <c r="Q18" i="5"/>
  <c r="I18" i="5"/>
  <c r="AO17" i="5"/>
  <c r="AG17" i="5"/>
  <c r="Y17" i="5"/>
  <c r="Q17" i="5"/>
  <c r="I17" i="5"/>
  <c r="AO16" i="5"/>
  <c r="AG16" i="5"/>
  <c r="Y16" i="5"/>
  <c r="Q16" i="5"/>
  <c r="I16" i="5"/>
  <c r="AO15" i="5"/>
  <c r="AG15" i="5"/>
  <c r="Y15" i="5"/>
  <c r="Q15" i="5"/>
  <c r="I15" i="5"/>
  <c r="AO14" i="5"/>
  <c r="AG14" i="5"/>
  <c r="Y14" i="5"/>
  <c r="Q14" i="5"/>
  <c r="I14" i="5"/>
  <c r="AO13" i="5"/>
  <c r="AG13" i="5"/>
  <c r="Y13" i="5"/>
  <c r="Q13" i="5"/>
  <c r="I13" i="5"/>
  <c r="AO12" i="5"/>
  <c r="AG12" i="5"/>
  <c r="Y12" i="5"/>
  <c r="Q12" i="5"/>
  <c r="I12" i="5"/>
  <c r="AO11" i="5"/>
  <c r="AG11" i="5"/>
  <c r="Y11" i="5"/>
  <c r="Q11" i="5"/>
  <c r="I11" i="5"/>
  <c r="AO8" i="5"/>
  <c r="AG8" i="5"/>
  <c r="Y8" i="5"/>
  <c r="Q8" i="5"/>
  <c r="I8" i="5"/>
  <c r="AO7" i="5"/>
  <c r="AG7" i="5"/>
  <c r="Y7" i="5"/>
  <c r="Q7" i="5"/>
  <c r="I7" i="5"/>
  <c r="AO6" i="5"/>
  <c r="AG6" i="5"/>
  <c r="AN14" i="6"/>
  <c r="AF14" i="6"/>
  <c r="X14" i="6"/>
  <c r="P14" i="6"/>
  <c r="H14" i="6"/>
  <c r="AN13" i="6"/>
  <c r="AF13" i="6"/>
  <c r="X13" i="6"/>
  <c r="P13" i="6"/>
  <c r="H13" i="6"/>
  <c r="AN12" i="6"/>
  <c r="AF12" i="6"/>
  <c r="X12" i="6"/>
  <c r="P12" i="6"/>
  <c r="H12" i="6"/>
  <c r="AN10" i="6"/>
  <c r="AF10" i="6"/>
  <c r="X10" i="6"/>
  <c r="P10" i="6"/>
  <c r="H10" i="6"/>
  <c r="AN9" i="6"/>
  <c r="AF9" i="6"/>
  <c r="X9" i="6"/>
  <c r="P9" i="6"/>
  <c r="H9" i="6"/>
  <c r="AN8" i="6"/>
  <c r="AF8" i="6"/>
  <c r="X8" i="6"/>
  <c r="P8" i="6"/>
  <c r="H8" i="6"/>
  <c r="AN7" i="6"/>
  <c r="AF7" i="6"/>
  <c r="X7" i="6"/>
  <c r="P7" i="6"/>
  <c r="H7" i="6"/>
  <c r="AN6" i="6"/>
  <c r="AF6" i="6"/>
  <c r="X6" i="6"/>
  <c r="P6" i="6"/>
  <c r="H6" i="6"/>
  <c r="AN27" i="5"/>
  <c r="AF27" i="5"/>
  <c r="X27" i="5"/>
  <c r="P27" i="5"/>
  <c r="H27" i="5"/>
  <c r="AN26" i="5"/>
  <c r="AF26" i="5"/>
  <c r="X26" i="5"/>
  <c r="P26" i="5"/>
  <c r="H26" i="5"/>
  <c r="AN25" i="5"/>
  <c r="AF25" i="5"/>
  <c r="X25" i="5"/>
  <c r="P25" i="5"/>
  <c r="H25" i="5"/>
  <c r="AN23" i="5"/>
  <c r="AF23" i="5"/>
  <c r="X23" i="5"/>
  <c r="P23" i="5"/>
  <c r="H23" i="5"/>
  <c r="AN22" i="5"/>
  <c r="AF22" i="5"/>
  <c r="X22" i="5"/>
  <c r="P22" i="5"/>
  <c r="H22" i="5"/>
  <c r="AN20" i="5"/>
  <c r="AF20" i="5"/>
  <c r="X20" i="5"/>
  <c r="P20" i="5"/>
  <c r="H20" i="5"/>
  <c r="AN19" i="5"/>
  <c r="AF19" i="5"/>
  <c r="X19" i="5"/>
  <c r="P19" i="5"/>
  <c r="H19" i="5"/>
  <c r="AN18" i="5"/>
  <c r="AF18" i="5"/>
  <c r="X18" i="5"/>
  <c r="P18" i="5"/>
  <c r="H18" i="5"/>
  <c r="AN17" i="5"/>
  <c r="AF17" i="5"/>
  <c r="X17" i="5"/>
  <c r="P17" i="5"/>
  <c r="H17" i="5"/>
  <c r="AN16" i="5"/>
  <c r="AF16" i="5"/>
  <c r="X16" i="5"/>
  <c r="P16" i="5"/>
  <c r="H16" i="5"/>
  <c r="AN15" i="5"/>
  <c r="AF15" i="5"/>
  <c r="X15" i="5"/>
  <c r="P15" i="5"/>
  <c r="H15" i="5"/>
  <c r="AN14" i="5"/>
  <c r="AF14" i="5"/>
  <c r="X14" i="5"/>
  <c r="P14" i="5"/>
  <c r="H14" i="5"/>
  <c r="AN13" i="5"/>
  <c r="AF13" i="5"/>
  <c r="X13" i="5"/>
  <c r="P13" i="5"/>
  <c r="H13" i="5"/>
  <c r="AN12" i="5"/>
  <c r="AF12" i="5"/>
  <c r="X12" i="5"/>
  <c r="P12" i="5"/>
  <c r="H12" i="5"/>
  <c r="AN11" i="5"/>
  <c r="AF11" i="5"/>
  <c r="X11" i="5"/>
  <c r="P11" i="5"/>
  <c r="H11" i="5"/>
  <c r="AN8" i="5"/>
  <c r="AF8" i="5"/>
  <c r="X8" i="5"/>
  <c r="P8" i="5"/>
  <c r="H8" i="5"/>
  <c r="AN7" i="5"/>
  <c r="AF7" i="5"/>
  <c r="X7" i="5"/>
  <c r="P7" i="5"/>
  <c r="H7" i="5"/>
  <c r="AN6" i="5"/>
  <c r="AF6" i="5"/>
  <c r="AM14" i="6"/>
  <c r="AE14" i="6"/>
  <c r="W14" i="6"/>
  <c r="O14" i="6"/>
  <c r="G14" i="6"/>
  <c r="AM13" i="6"/>
  <c r="AE13" i="6"/>
  <c r="W13" i="6"/>
  <c r="O13" i="6"/>
  <c r="G13" i="6"/>
  <c r="AM12" i="6"/>
  <c r="AE12" i="6"/>
  <c r="W12" i="6"/>
  <c r="O12" i="6"/>
  <c r="G12" i="6"/>
  <c r="AM10" i="6"/>
  <c r="AE10" i="6"/>
  <c r="W10" i="6"/>
  <c r="O10" i="6"/>
  <c r="G10" i="6"/>
  <c r="AM9" i="6"/>
  <c r="AE9" i="6"/>
  <c r="W9" i="6"/>
  <c r="O9" i="6"/>
  <c r="G9" i="6"/>
  <c r="AM8" i="6"/>
  <c r="AE8" i="6"/>
  <c r="W8" i="6"/>
  <c r="O8" i="6"/>
  <c r="G8" i="6"/>
  <c r="AM7" i="6"/>
  <c r="AE7" i="6"/>
  <c r="W7" i="6"/>
  <c r="O7" i="6"/>
  <c r="G7" i="6"/>
  <c r="AM6" i="6"/>
  <c r="AE6" i="6"/>
  <c r="W6" i="6"/>
  <c r="O6" i="6"/>
  <c r="G6" i="6"/>
  <c r="AM27" i="5"/>
  <c r="AE27" i="5"/>
  <c r="W27" i="5"/>
  <c r="O27" i="5"/>
  <c r="G27" i="5"/>
  <c r="AM26" i="5"/>
  <c r="AE26" i="5"/>
  <c r="W26" i="5"/>
  <c r="O26" i="5"/>
  <c r="G26" i="5"/>
  <c r="AM25" i="5"/>
  <c r="AE25" i="5"/>
  <c r="W25" i="5"/>
  <c r="O25" i="5"/>
  <c r="G25" i="5"/>
  <c r="AM23" i="5"/>
  <c r="AE23" i="5"/>
  <c r="W23" i="5"/>
  <c r="O23" i="5"/>
  <c r="G23" i="5"/>
  <c r="AM22" i="5"/>
  <c r="AE22" i="5"/>
  <c r="W22" i="5"/>
  <c r="O22" i="5"/>
  <c r="G22" i="5"/>
  <c r="AM20" i="5"/>
  <c r="AE20" i="5"/>
  <c r="W20" i="5"/>
  <c r="O20" i="5"/>
  <c r="G20" i="5"/>
  <c r="AM19" i="5"/>
  <c r="AE19" i="5"/>
  <c r="W19" i="5"/>
  <c r="O19" i="5"/>
  <c r="G19" i="5"/>
  <c r="AM18" i="5"/>
  <c r="AE18" i="5"/>
  <c r="W18" i="5"/>
  <c r="O18" i="5"/>
  <c r="G18" i="5"/>
  <c r="AM17" i="5"/>
  <c r="AE17" i="5"/>
  <c r="W17" i="5"/>
  <c r="O17" i="5"/>
  <c r="G17" i="5"/>
  <c r="AM16" i="5"/>
  <c r="AE16" i="5"/>
  <c r="W16" i="5"/>
  <c r="O16" i="5"/>
  <c r="G16" i="5"/>
  <c r="AM15" i="5"/>
  <c r="AE15" i="5"/>
  <c r="W15" i="5"/>
  <c r="O15" i="5"/>
  <c r="G15" i="5"/>
  <c r="AM14" i="5"/>
  <c r="AE14" i="5"/>
  <c r="W14" i="5"/>
  <c r="O14" i="5"/>
  <c r="G14" i="5"/>
  <c r="AM13" i="5"/>
  <c r="AE13" i="5"/>
  <c r="W13" i="5"/>
  <c r="O13" i="5"/>
  <c r="G13" i="5"/>
  <c r="AM12" i="5"/>
  <c r="AE12" i="5"/>
  <c r="W12" i="5"/>
  <c r="O12" i="5"/>
  <c r="G12" i="5"/>
  <c r="AM11" i="5"/>
  <c r="AE11" i="5"/>
  <c r="W11" i="5"/>
  <c r="O11" i="5"/>
  <c r="G11" i="5"/>
  <c r="AM8" i="5"/>
  <c r="AE8" i="5"/>
  <c r="W8" i="5"/>
  <c r="O8" i="5"/>
  <c r="G8" i="5"/>
  <c r="AM7" i="5"/>
  <c r="AE7" i="5"/>
  <c r="W7" i="5"/>
  <c r="O7" i="5"/>
  <c r="G7" i="5"/>
  <c r="AM6" i="5"/>
  <c r="AE6" i="5"/>
  <c r="AL14" i="6"/>
  <c r="AD14" i="6"/>
  <c r="V14" i="6"/>
  <c r="N14" i="6"/>
  <c r="F14" i="6"/>
  <c r="AL13" i="6"/>
  <c r="AD13" i="6"/>
  <c r="V13" i="6"/>
  <c r="N13" i="6"/>
  <c r="F13" i="6"/>
  <c r="AL12" i="6"/>
  <c r="AD12" i="6"/>
  <c r="V12" i="6"/>
  <c r="N12" i="6"/>
  <c r="F12" i="6"/>
  <c r="AL10" i="6"/>
  <c r="AD10" i="6"/>
  <c r="V10" i="6"/>
  <c r="N10" i="6"/>
  <c r="F10" i="6"/>
  <c r="AL9" i="6"/>
  <c r="AD9" i="6"/>
  <c r="V9" i="6"/>
  <c r="N9" i="6"/>
  <c r="F9" i="6"/>
  <c r="AL8" i="6"/>
  <c r="AD8" i="6"/>
  <c r="V8" i="6"/>
  <c r="N8" i="6"/>
  <c r="F8" i="6"/>
  <c r="AL7" i="6"/>
  <c r="AD7" i="6"/>
  <c r="V7" i="6"/>
  <c r="N7" i="6"/>
  <c r="F7" i="6"/>
  <c r="AL6" i="6"/>
  <c r="AD6" i="6"/>
  <c r="V6" i="6"/>
  <c r="N6" i="6"/>
  <c r="F6" i="6"/>
  <c r="AL27" i="5"/>
  <c r="AD27" i="5"/>
  <c r="V27" i="5"/>
  <c r="N27" i="5"/>
  <c r="F27" i="5"/>
  <c r="AL26" i="5"/>
  <c r="AD26" i="5"/>
  <c r="V26" i="5"/>
  <c r="N26" i="5"/>
  <c r="F26" i="5"/>
  <c r="AL25" i="5"/>
  <c r="AD25" i="5"/>
  <c r="V25" i="5"/>
  <c r="N25" i="5"/>
  <c r="F25" i="5"/>
  <c r="AL23" i="5"/>
  <c r="AD23" i="5"/>
  <c r="V23" i="5"/>
  <c r="N23" i="5"/>
  <c r="F23" i="5"/>
  <c r="AL22" i="5"/>
  <c r="AD22" i="5"/>
  <c r="V22" i="5"/>
  <c r="N22" i="5"/>
  <c r="F22" i="5"/>
  <c r="AL20" i="5"/>
  <c r="AD20" i="5"/>
  <c r="V20" i="5"/>
  <c r="N20" i="5"/>
  <c r="F20" i="5"/>
  <c r="AL19" i="5"/>
  <c r="AD19" i="5"/>
  <c r="V19" i="5"/>
  <c r="N19" i="5"/>
  <c r="F19" i="5"/>
  <c r="AL18" i="5"/>
  <c r="AD18" i="5"/>
  <c r="V18" i="5"/>
  <c r="N18" i="5"/>
  <c r="F18" i="5"/>
  <c r="AL17" i="5"/>
  <c r="AD17" i="5"/>
  <c r="V17" i="5"/>
  <c r="N17" i="5"/>
  <c r="F17" i="5"/>
  <c r="AL16" i="5"/>
  <c r="AD16" i="5"/>
  <c r="V16" i="5"/>
  <c r="N16" i="5"/>
  <c r="F16" i="5"/>
  <c r="AL15" i="5"/>
  <c r="AD15" i="5"/>
  <c r="V15" i="5"/>
  <c r="N15" i="5"/>
  <c r="F15" i="5"/>
  <c r="AL14" i="5"/>
  <c r="AD14" i="5"/>
  <c r="V14" i="5"/>
  <c r="N14" i="5"/>
  <c r="F14" i="5"/>
  <c r="AL13" i="5"/>
  <c r="AD13" i="5"/>
  <c r="V13" i="5"/>
  <c r="N13" i="5"/>
  <c r="F13" i="5"/>
  <c r="AL12" i="5"/>
  <c r="AD12" i="5"/>
  <c r="V12" i="5"/>
  <c r="N12" i="5"/>
  <c r="F12" i="5"/>
  <c r="AL11" i="5"/>
  <c r="AD11" i="5"/>
  <c r="V11" i="5"/>
  <c r="N11" i="5"/>
  <c r="F11" i="5"/>
  <c r="AL8" i="5"/>
  <c r="AD8" i="5"/>
  <c r="V8" i="5"/>
  <c r="N8" i="5"/>
  <c r="F8" i="5"/>
  <c r="AL7" i="5"/>
  <c r="AD7" i="5"/>
  <c r="V7" i="5"/>
  <c r="N7" i="5"/>
  <c r="F7" i="5"/>
  <c r="AL6" i="5"/>
  <c r="AD6" i="5"/>
  <c r="AK14" i="6"/>
  <c r="AC14" i="6"/>
  <c r="U14" i="6"/>
  <c r="M14" i="6"/>
  <c r="E14" i="6"/>
  <c r="AK13" i="6"/>
  <c r="AC13" i="6"/>
  <c r="U13" i="6"/>
  <c r="M13" i="6"/>
  <c r="E13" i="6"/>
  <c r="AK12" i="6"/>
  <c r="AC12" i="6"/>
  <c r="U12" i="6"/>
  <c r="M12" i="6"/>
  <c r="E12" i="6"/>
  <c r="AK10" i="6"/>
  <c r="AC10" i="6"/>
  <c r="U10" i="6"/>
  <c r="M10" i="6"/>
  <c r="E10" i="6"/>
  <c r="AK9" i="6"/>
  <c r="AC9" i="6"/>
  <c r="U9" i="6"/>
  <c r="M9" i="6"/>
  <c r="E9" i="6"/>
  <c r="AK8" i="6"/>
  <c r="AC8" i="6"/>
  <c r="U8" i="6"/>
  <c r="M8" i="6"/>
  <c r="E8" i="6"/>
  <c r="AK7" i="6"/>
  <c r="AC7" i="6"/>
  <c r="U7" i="6"/>
  <c r="M7" i="6"/>
  <c r="E7" i="6"/>
  <c r="AK6" i="6"/>
  <c r="AC6" i="6"/>
  <c r="U6" i="6"/>
  <c r="M6" i="6"/>
  <c r="E6" i="6"/>
  <c r="AK27" i="5"/>
  <c r="AC27" i="5"/>
  <c r="U27" i="5"/>
  <c r="M27" i="5"/>
  <c r="E27" i="5"/>
  <c r="AK26" i="5"/>
  <c r="AC26" i="5"/>
  <c r="U26" i="5"/>
  <c r="M26" i="5"/>
  <c r="E26" i="5"/>
  <c r="AK25" i="5"/>
  <c r="AC25" i="5"/>
  <c r="U25" i="5"/>
  <c r="M25" i="5"/>
  <c r="E25" i="5"/>
  <c r="AK23" i="5"/>
  <c r="AC23" i="5"/>
  <c r="U23" i="5"/>
  <c r="M23" i="5"/>
  <c r="AJ14" i="6"/>
  <c r="AB14" i="6"/>
  <c r="T14" i="6"/>
  <c r="L14" i="6"/>
  <c r="D14" i="6"/>
  <c r="AJ13" i="6"/>
  <c r="AB13" i="6"/>
  <c r="T13" i="6"/>
  <c r="L13" i="6"/>
  <c r="D13" i="6"/>
  <c r="AJ12" i="6"/>
  <c r="AB12" i="6"/>
  <c r="T12" i="6"/>
  <c r="L12" i="6"/>
  <c r="D12" i="6"/>
  <c r="AJ10" i="6"/>
  <c r="AB10" i="6"/>
  <c r="T10" i="6"/>
  <c r="L10" i="6"/>
  <c r="D10" i="6"/>
  <c r="AJ9" i="6"/>
  <c r="AB9" i="6"/>
  <c r="T9" i="6"/>
  <c r="L9" i="6"/>
  <c r="D9" i="6"/>
  <c r="AJ8" i="6"/>
  <c r="AB8" i="6"/>
  <c r="T8" i="6"/>
  <c r="L8" i="6"/>
  <c r="D8" i="6"/>
  <c r="AJ7" i="6"/>
  <c r="AB7" i="6"/>
  <c r="T7" i="6"/>
  <c r="L7" i="6"/>
  <c r="D7" i="6"/>
  <c r="AJ6" i="6"/>
  <c r="AB6" i="6"/>
  <c r="T6" i="6"/>
  <c r="L6" i="6"/>
  <c r="D6" i="6"/>
  <c r="AJ27" i="5"/>
  <c r="AB27" i="5"/>
  <c r="T27" i="5"/>
  <c r="L27" i="5"/>
  <c r="D27" i="5"/>
  <c r="AJ26" i="5"/>
  <c r="AB26" i="5"/>
  <c r="T26" i="5"/>
  <c r="L26" i="5"/>
  <c r="D26" i="5"/>
  <c r="AJ25" i="5"/>
  <c r="AB25" i="5"/>
  <c r="T25" i="5"/>
  <c r="L25" i="5"/>
  <c r="D25" i="5"/>
  <c r="AJ23" i="5"/>
  <c r="AB23" i="5"/>
  <c r="T23" i="5"/>
  <c r="L23" i="5"/>
  <c r="AI14" i="6"/>
  <c r="K13" i="6"/>
  <c r="AA10" i="6"/>
  <c r="C9" i="6"/>
  <c r="S7" i="6"/>
  <c r="AI27" i="5"/>
  <c r="K26" i="5"/>
  <c r="AA23" i="5"/>
  <c r="AI22" i="5"/>
  <c r="L22" i="5"/>
  <c r="AC20" i="5"/>
  <c r="M20" i="5"/>
  <c r="AK19" i="5"/>
  <c r="U19" i="5"/>
  <c r="E19" i="5"/>
  <c r="AC18" i="5"/>
  <c r="M18" i="5"/>
  <c r="AK17" i="5"/>
  <c r="U17" i="5"/>
  <c r="E17" i="5"/>
  <c r="AC16" i="5"/>
  <c r="M16" i="5"/>
  <c r="AK15" i="5"/>
  <c r="U15" i="5"/>
  <c r="E15" i="5"/>
  <c r="AC14" i="5"/>
  <c r="M14" i="5"/>
  <c r="AK13" i="5"/>
  <c r="U13" i="5"/>
  <c r="E13" i="5"/>
  <c r="AC12" i="5"/>
  <c r="M12" i="5"/>
  <c r="AK11" i="5"/>
  <c r="U11" i="5"/>
  <c r="E11" i="5"/>
  <c r="AC8" i="5"/>
  <c r="M8" i="5"/>
  <c r="AK7" i="5"/>
  <c r="U7" i="5"/>
  <c r="E7" i="5"/>
  <c r="AC6" i="5"/>
  <c r="U6" i="5"/>
  <c r="M6" i="5"/>
  <c r="E6" i="5"/>
  <c r="AK54" i="4"/>
  <c r="AC54" i="4"/>
  <c r="U54" i="4"/>
  <c r="M54" i="4"/>
  <c r="E54" i="4"/>
  <c r="AK53" i="4"/>
  <c r="AC53" i="4"/>
  <c r="U53" i="4"/>
  <c r="M53" i="4"/>
  <c r="E53" i="4"/>
  <c r="AK52" i="4"/>
  <c r="AC52" i="4"/>
  <c r="U52" i="4"/>
  <c r="M52" i="4"/>
  <c r="E52" i="4"/>
  <c r="AK51" i="4"/>
  <c r="AC51" i="4"/>
  <c r="U51" i="4"/>
  <c r="M51" i="4"/>
  <c r="E51" i="4"/>
  <c r="AK50" i="4"/>
  <c r="AC50" i="4"/>
  <c r="U50" i="4"/>
  <c r="M50" i="4"/>
  <c r="E50" i="4"/>
  <c r="AK49" i="4"/>
  <c r="AC49" i="4"/>
  <c r="U49" i="4"/>
  <c r="M49" i="4"/>
  <c r="E49" i="4"/>
  <c r="AK48" i="4"/>
  <c r="AC48" i="4"/>
  <c r="U48" i="4"/>
  <c r="M48" i="4"/>
  <c r="E48" i="4"/>
  <c r="AK47" i="4"/>
  <c r="AC47" i="4"/>
  <c r="U47" i="4"/>
  <c r="M47" i="4"/>
  <c r="E47" i="4"/>
  <c r="AK46" i="4"/>
  <c r="AC46" i="4"/>
  <c r="U46" i="4"/>
  <c r="M46" i="4"/>
  <c r="E46" i="4"/>
  <c r="AK45" i="4"/>
  <c r="AC45" i="4"/>
  <c r="U45" i="4"/>
  <c r="M45" i="4"/>
  <c r="E45" i="4"/>
  <c r="AK42" i="4"/>
  <c r="AC42" i="4"/>
  <c r="U42" i="4"/>
  <c r="M42" i="4"/>
  <c r="E42" i="4"/>
  <c r="AK41" i="4"/>
  <c r="AC41" i="4"/>
  <c r="U41" i="4"/>
  <c r="M41" i="4"/>
  <c r="E41" i="4"/>
  <c r="AK39" i="4"/>
  <c r="AC39" i="4"/>
  <c r="U39" i="4"/>
  <c r="M39" i="4"/>
  <c r="E39" i="4"/>
  <c r="AK36" i="4"/>
  <c r="AC36" i="4"/>
  <c r="U36" i="4"/>
  <c r="M36" i="4"/>
  <c r="E36" i="4"/>
  <c r="AK35" i="4"/>
  <c r="AC35" i="4"/>
  <c r="U35" i="4"/>
  <c r="M35" i="4"/>
  <c r="E35" i="4"/>
  <c r="AK34" i="4"/>
  <c r="AC34" i="4"/>
  <c r="U34" i="4"/>
  <c r="M34" i="4"/>
  <c r="E34" i="4"/>
  <c r="AK33" i="4"/>
  <c r="AC33" i="4"/>
  <c r="U33" i="4"/>
  <c r="AA14" i="6"/>
  <c r="C13" i="6"/>
  <c r="S10" i="6"/>
  <c r="AI8" i="6"/>
  <c r="K7" i="6"/>
  <c r="AA27" i="5"/>
  <c r="C26" i="5"/>
  <c r="S23" i="5"/>
  <c r="AC22" i="5"/>
  <c r="K22" i="5"/>
  <c r="AB20" i="5"/>
  <c r="L20" i="5"/>
  <c r="AJ19" i="5"/>
  <c r="T19" i="5"/>
  <c r="D19" i="5"/>
  <c r="AB18" i="5"/>
  <c r="L18" i="5"/>
  <c r="AJ17" i="5"/>
  <c r="T17" i="5"/>
  <c r="D17" i="5"/>
  <c r="AB16" i="5"/>
  <c r="L16" i="5"/>
  <c r="AJ15" i="5"/>
  <c r="T15" i="5"/>
  <c r="D15" i="5"/>
  <c r="AB14" i="5"/>
  <c r="L14" i="5"/>
  <c r="AJ13" i="5"/>
  <c r="T13" i="5"/>
  <c r="D13" i="5"/>
  <c r="AB12" i="5"/>
  <c r="L12" i="5"/>
  <c r="AJ11" i="5"/>
  <c r="T11" i="5"/>
  <c r="D11" i="5"/>
  <c r="AB8" i="5"/>
  <c r="L8" i="5"/>
  <c r="AJ7" i="5"/>
  <c r="T7" i="5"/>
  <c r="D7" i="5"/>
  <c r="AB6" i="5"/>
  <c r="T6" i="5"/>
  <c r="L6" i="5"/>
  <c r="D6" i="5"/>
  <c r="AJ54" i="4"/>
  <c r="AB54" i="4"/>
  <c r="T54" i="4"/>
  <c r="L54" i="4"/>
  <c r="D54" i="4"/>
  <c r="AJ53" i="4"/>
  <c r="AB53" i="4"/>
  <c r="T53" i="4"/>
  <c r="L53" i="4"/>
  <c r="D53" i="4"/>
  <c r="AJ52" i="4"/>
  <c r="AB52" i="4"/>
  <c r="T52" i="4"/>
  <c r="L52" i="4"/>
  <c r="D52" i="4"/>
  <c r="AJ51" i="4"/>
  <c r="AB51" i="4"/>
  <c r="T51" i="4"/>
  <c r="L51" i="4"/>
  <c r="D51" i="4"/>
  <c r="AJ50" i="4"/>
  <c r="AB50" i="4"/>
  <c r="T50" i="4"/>
  <c r="L50" i="4"/>
  <c r="D50" i="4"/>
  <c r="AJ49" i="4"/>
  <c r="AB49" i="4"/>
  <c r="T49" i="4"/>
  <c r="L49" i="4"/>
  <c r="D49" i="4"/>
  <c r="AJ48" i="4"/>
  <c r="AB48" i="4"/>
  <c r="T48" i="4"/>
  <c r="L48" i="4"/>
  <c r="D48" i="4"/>
  <c r="AJ47" i="4"/>
  <c r="AB47" i="4"/>
  <c r="T47" i="4"/>
  <c r="L47" i="4"/>
  <c r="D47" i="4"/>
  <c r="AJ46" i="4"/>
  <c r="AB46" i="4"/>
  <c r="T46" i="4"/>
  <c r="L46" i="4"/>
  <c r="D46" i="4"/>
  <c r="AJ45" i="4"/>
  <c r="AB45" i="4"/>
  <c r="T45" i="4"/>
  <c r="L45" i="4"/>
  <c r="D45" i="4"/>
  <c r="AJ42" i="4"/>
  <c r="AB42" i="4"/>
  <c r="T42" i="4"/>
  <c r="L42" i="4"/>
  <c r="D42" i="4"/>
  <c r="AJ41" i="4"/>
  <c r="AB41" i="4"/>
  <c r="T41" i="4"/>
  <c r="L41" i="4"/>
  <c r="D41" i="4"/>
  <c r="AJ39" i="4"/>
  <c r="AB39" i="4"/>
  <c r="T39" i="4"/>
  <c r="L39" i="4"/>
  <c r="D39" i="4"/>
  <c r="AJ36" i="4"/>
  <c r="AB36" i="4"/>
  <c r="T36" i="4"/>
  <c r="L36" i="4"/>
  <c r="D36" i="4"/>
  <c r="AJ35" i="4"/>
  <c r="AB35" i="4"/>
  <c r="T35" i="4"/>
  <c r="L35" i="4"/>
  <c r="D35" i="4"/>
  <c r="AJ34" i="4"/>
  <c r="AB34" i="4"/>
  <c r="T34" i="4"/>
  <c r="L34" i="4"/>
  <c r="D34" i="4"/>
  <c r="AJ33" i="4"/>
  <c r="AB33" i="4"/>
  <c r="T33" i="4"/>
  <c r="S14" i="6"/>
  <c r="AI12" i="6"/>
  <c r="K10" i="6"/>
  <c r="AA8" i="6"/>
  <c r="C7" i="6"/>
  <c r="S27" i="5"/>
  <c r="AI25" i="5"/>
  <c r="K23" i="5"/>
  <c r="AB22" i="5"/>
  <c r="E22" i="5"/>
  <c r="AA20" i="5"/>
  <c r="K20" i="5"/>
  <c r="AI19" i="5"/>
  <c r="S19" i="5"/>
  <c r="C19" i="5"/>
  <c r="AA18" i="5"/>
  <c r="K18" i="5"/>
  <c r="AI17" i="5"/>
  <c r="S17" i="5"/>
  <c r="C17" i="5"/>
  <c r="AA16" i="5"/>
  <c r="K16" i="5"/>
  <c r="AI15" i="5"/>
  <c r="S15" i="5"/>
  <c r="C15" i="5"/>
  <c r="AA14" i="5"/>
  <c r="K14" i="5"/>
  <c r="AI13" i="5"/>
  <c r="S13" i="5"/>
  <c r="C13" i="5"/>
  <c r="AA12" i="5"/>
  <c r="K12" i="5"/>
  <c r="AI11" i="5"/>
  <c r="S11" i="5"/>
  <c r="C11" i="5"/>
  <c r="AA8" i="5"/>
  <c r="K8" i="5"/>
  <c r="AI7" i="5"/>
  <c r="S7" i="5"/>
  <c r="C7" i="5"/>
  <c r="AA6" i="5"/>
  <c r="S6" i="5"/>
  <c r="K6" i="5"/>
  <c r="C6" i="5"/>
  <c r="AI54" i="4"/>
  <c r="AA54" i="4"/>
  <c r="S54" i="4"/>
  <c r="K54" i="4"/>
  <c r="C54" i="4"/>
  <c r="AI53" i="4"/>
  <c r="AA53" i="4"/>
  <c r="S53" i="4"/>
  <c r="K53" i="4"/>
  <c r="C53" i="4"/>
  <c r="AI52" i="4"/>
  <c r="AA52" i="4"/>
  <c r="S52" i="4"/>
  <c r="K52" i="4"/>
  <c r="C52" i="4"/>
  <c r="AI51" i="4"/>
  <c r="AA51" i="4"/>
  <c r="S51" i="4"/>
  <c r="K51" i="4"/>
  <c r="C51" i="4"/>
  <c r="AI50" i="4"/>
  <c r="AA50" i="4"/>
  <c r="S50" i="4"/>
  <c r="K50" i="4"/>
  <c r="C50" i="4"/>
  <c r="AI49" i="4"/>
  <c r="AA49" i="4"/>
  <c r="S49" i="4"/>
  <c r="K49" i="4"/>
  <c r="C49" i="4"/>
  <c r="AI48" i="4"/>
  <c r="AA48" i="4"/>
  <c r="S48" i="4"/>
  <c r="K48" i="4"/>
  <c r="C48" i="4"/>
  <c r="AI47" i="4"/>
  <c r="AA47" i="4"/>
  <c r="S47" i="4"/>
  <c r="K47" i="4"/>
  <c r="C47" i="4"/>
  <c r="AI46" i="4"/>
  <c r="AA46" i="4"/>
  <c r="S46" i="4"/>
  <c r="K46" i="4"/>
  <c r="C46" i="4"/>
  <c r="AI45" i="4"/>
  <c r="AA45" i="4"/>
  <c r="S45" i="4"/>
  <c r="K45" i="4"/>
  <c r="C45" i="4"/>
  <c r="AI42" i="4"/>
  <c r="AA42" i="4"/>
  <c r="S42" i="4"/>
  <c r="K42" i="4"/>
  <c r="C42" i="4"/>
  <c r="AI41" i="4"/>
  <c r="AA41" i="4"/>
  <c r="S41" i="4"/>
  <c r="K41" i="4"/>
  <c r="C41" i="4"/>
  <c r="AI39" i="4"/>
  <c r="AA39" i="4"/>
  <c r="S39" i="4"/>
  <c r="K39" i="4"/>
  <c r="C39" i="4"/>
  <c r="AI36" i="4"/>
  <c r="AA36" i="4"/>
  <c r="S36" i="4"/>
  <c r="K36" i="4"/>
  <c r="C36" i="4"/>
  <c r="AI35" i="4"/>
  <c r="AA35" i="4"/>
  <c r="S35" i="4"/>
  <c r="K35" i="4"/>
  <c r="C35" i="4"/>
  <c r="AI34" i="4"/>
  <c r="AA34" i="4"/>
  <c r="S34" i="4"/>
  <c r="K34" i="4"/>
  <c r="K14" i="6"/>
  <c r="AA12" i="6"/>
  <c r="C10" i="6"/>
  <c r="S8" i="6"/>
  <c r="AI6" i="6"/>
  <c r="K27" i="5"/>
  <c r="AA25" i="5"/>
  <c r="E23" i="5"/>
  <c r="AA22" i="5"/>
  <c r="D22" i="5"/>
  <c r="Z20" i="5"/>
  <c r="J20" i="5"/>
  <c r="AH19" i="5"/>
  <c r="R19" i="5"/>
  <c r="AP18" i="5"/>
  <c r="Z18" i="5"/>
  <c r="J18" i="5"/>
  <c r="AH17" i="5"/>
  <c r="R17" i="5"/>
  <c r="AP16" i="5"/>
  <c r="Z16" i="5"/>
  <c r="J16" i="5"/>
  <c r="AH15" i="5"/>
  <c r="R15" i="5"/>
  <c r="AP14" i="5"/>
  <c r="Z14" i="5"/>
  <c r="J14" i="5"/>
  <c r="AH13" i="5"/>
  <c r="R13" i="5"/>
  <c r="AP12" i="5"/>
  <c r="Z12" i="5"/>
  <c r="J12" i="5"/>
  <c r="AH11" i="5"/>
  <c r="R11" i="5"/>
  <c r="AP8" i="5"/>
  <c r="Z8" i="5"/>
  <c r="J8" i="5"/>
  <c r="AH7" i="5"/>
  <c r="R7" i="5"/>
  <c r="AP6" i="5"/>
  <c r="Z6" i="5"/>
  <c r="R6" i="5"/>
  <c r="J6" i="5"/>
  <c r="AP54" i="4"/>
  <c r="AH54" i="4"/>
  <c r="Z54" i="4"/>
  <c r="R54" i="4"/>
  <c r="J54" i="4"/>
  <c r="AP53" i="4"/>
  <c r="AH53" i="4"/>
  <c r="Z53" i="4"/>
  <c r="R53" i="4"/>
  <c r="J53" i="4"/>
  <c r="AP52" i="4"/>
  <c r="AH52" i="4"/>
  <c r="Z52" i="4"/>
  <c r="R52" i="4"/>
  <c r="J52" i="4"/>
  <c r="AP51" i="4"/>
  <c r="AH51" i="4"/>
  <c r="Z51" i="4"/>
  <c r="R51" i="4"/>
  <c r="J51" i="4"/>
  <c r="AP50" i="4"/>
  <c r="AH50" i="4"/>
  <c r="Z50" i="4"/>
  <c r="R50" i="4"/>
  <c r="J50" i="4"/>
  <c r="AP49" i="4"/>
  <c r="AH49" i="4"/>
  <c r="Z49" i="4"/>
  <c r="R49" i="4"/>
  <c r="J49" i="4"/>
  <c r="AP48" i="4"/>
  <c r="AH48" i="4"/>
  <c r="Z48" i="4"/>
  <c r="R48" i="4"/>
  <c r="J48" i="4"/>
  <c r="AP47" i="4"/>
  <c r="AH47" i="4"/>
  <c r="Z47" i="4"/>
  <c r="R47" i="4"/>
  <c r="J47" i="4"/>
  <c r="AP46" i="4"/>
  <c r="AH46" i="4"/>
  <c r="Z46" i="4"/>
  <c r="R46" i="4"/>
  <c r="J46" i="4"/>
  <c r="AP45" i="4"/>
  <c r="AH45" i="4"/>
  <c r="Z45" i="4"/>
  <c r="R45" i="4"/>
  <c r="J45" i="4"/>
  <c r="AP42" i="4"/>
  <c r="AH42" i="4"/>
  <c r="Z42" i="4"/>
  <c r="R42" i="4"/>
  <c r="J42" i="4"/>
  <c r="AP41" i="4"/>
  <c r="AH41" i="4"/>
  <c r="Z41" i="4"/>
  <c r="R41" i="4"/>
  <c r="J41" i="4"/>
  <c r="AP39" i="4"/>
  <c r="AH39" i="4"/>
  <c r="Z39" i="4"/>
  <c r="R39" i="4"/>
  <c r="J39" i="4"/>
  <c r="AP36" i="4"/>
  <c r="AH36" i="4"/>
  <c r="Z36" i="4"/>
  <c r="R36" i="4"/>
  <c r="J36" i="4"/>
  <c r="AP35" i="4"/>
  <c r="AH35" i="4"/>
  <c r="Z35" i="4"/>
  <c r="R35" i="4"/>
  <c r="J35" i="4"/>
  <c r="AP34" i="4"/>
  <c r="AH34" i="4"/>
  <c r="Z34" i="4"/>
  <c r="R34" i="4"/>
  <c r="J34" i="4"/>
  <c r="AP33" i="4"/>
  <c r="AH33" i="4"/>
  <c r="Z33" i="4"/>
  <c r="R33" i="4"/>
  <c r="C14" i="6"/>
  <c r="S12" i="6"/>
  <c r="AI9" i="6"/>
  <c r="K8" i="6"/>
  <c r="AA6" i="6"/>
  <c r="C27" i="5"/>
  <c r="S25" i="5"/>
  <c r="D23" i="5"/>
  <c r="U22" i="5"/>
  <c r="C22" i="5"/>
  <c r="U20" i="5"/>
  <c r="E20" i="5"/>
  <c r="AC19" i="5"/>
  <c r="M19" i="5"/>
  <c r="AK18" i="5"/>
  <c r="U18" i="5"/>
  <c r="E18" i="5"/>
  <c r="AC17" i="5"/>
  <c r="M17" i="5"/>
  <c r="AK16" i="5"/>
  <c r="U16" i="5"/>
  <c r="E16" i="5"/>
  <c r="AC15" i="5"/>
  <c r="M15" i="5"/>
  <c r="AK14" i="5"/>
  <c r="U14" i="5"/>
  <c r="E14" i="5"/>
  <c r="AC13" i="5"/>
  <c r="M13" i="5"/>
  <c r="AK12" i="5"/>
  <c r="U12" i="5"/>
  <c r="E12" i="5"/>
  <c r="AC11" i="5"/>
  <c r="M11" i="5"/>
  <c r="AK8" i="5"/>
  <c r="U8" i="5"/>
  <c r="E8" i="5"/>
  <c r="AC7" i="5"/>
  <c r="M7" i="5"/>
  <c r="AK6" i="5"/>
  <c r="Y6" i="5"/>
  <c r="Q6" i="5"/>
  <c r="I6" i="5"/>
  <c r="AO54" i="4"/>
  <c r="AG54" i="4"/>
  <c r="Y54" i="4"/>
  <c r="Q54" i="4"/>
  <c r="I54" i="4"/>
  <c r="AO53" i="4"/>
  <c r="AG53" i="4"/>
  <c r="Y53" i="4"/>
  <c r="Q53" i="4"/>
  <c r="I53" i="4"/>
  <c r="AO52" i="4"/>
  <c r="AG52" i="4"/>
  <c r="Y52" i="4"/>
  <c r="Q52" i="4"/>
  <c r="I52" i="4"/>
  <c r="AO51" i="4"/>
  <c r="AG51" i="4"/>
  <c r="Y51" i="4"/>
  <c r="Q51" i="4"/>
  <c r="I51" i="4"/>
  <c r="AO50" i="4"/>
  <c r="AG50" i="4"/>
  <c r="Y50" i="4"/>
  <c r="Q50" i="4"/>
  <c r="I50" i="4"/>
  <c r="AO49" i="4"/>
  <c r="AG49" i="4"/>
  <c r="Y49" i="4"/>
  <c r="Q49" i="4"/>
  <c r="I49" i="4"/>
  <c r="AO48" i="4"/>
  <c r="AG48" i="4"/>
  <c r="Y48" i="4"/>
  <c r="Q48" i="4"/>
  <c r="I48" i="4"/>
  <c r="AO47" i="4"/>
  <c r="AG47" i="4"/>
  <c r="Y47" i="4"/>
  <c r="Q47" i="4"/>
  <c r="I47" i="4"/>
  <c r="AO46" i="4"/>
  <c r="AG46" i="4"/>
  <c r="Y46" i="4"/>
  <c r="Q46" i="4"/>
  <c r="I46" i="4"/>
  <c r="AO45" i="4"/>
  <c r="AG45" i="4"/>
  <c r="Y45" i="4"/>
  <c r="Q45" i="4"/>
  <c r="I45" i="4"/>
  <c r="AO42" i="4"/>
  <c r="AG42" i="4"/>
  <c r="Y42" i="4"/>
  <c r="Q42" i="4"/>
  <c r="I42" i="4"/>
  <c r="AO41" i="4"/>
  <c r="AG41" i="4"/>
  <c r="Y41" i="4"/>
  <c r="Q41" i="4"/>
  <c r="I41" i="4"/>
  <c r="AO39" i="4"/>
  <c r="AG39" i="4"/>
  <c r="Y39" i="4"/>
  <c r="Q39" i="4"/>
  <c r="I39" i="4"/>
  <c r="AO36" i="4"/>
  <c r="AG36" i="4"/>
  <c r="Y36" i="4"/>
  <c r="Q36" i="4"/>
  <c r="I36" i="4"/>
  <c r="AO35" i="4"/>
  <c r="AG35" i="4"/>
  <c r="Y35" i="4"/>
  <c r="Q35" i="4"/>
  <c r="I35" i="4"/>
  <c r="AO34" i="4"/>
  <c r="AG34" i="4"/>
  <c r="Y34" i="4"/>
  <c r="Q34" i="4"/>
  <c r="I34" i="4"/>
  <c r="AO33" i="4"/>
  <c r="AG33" i="4"/>
  <c r="Y33" i="4"/>
  <c r="S13" i="6"/>
  <c r="AI10" i="6"/>
  <c r="K9" i="6"/>
  <c r="AA7" i="6"/>
  <c r="C6" i="6"/>
  <c r="S26" i="5"/>
  <c r="AI23" i="5"/>
  <c r="AJ22" i="5"/>
  <c r="M22" i="5"/>
  <c r="AI20" i="5"/>
  <c r="R20" i="5"/>
  <c r="AP19" i="5"/>
  <c r="Z19" i="5"/>
  <c r="J19" i="5"/>
  <c r="AH18" i="5"/>
  <c r="R18" i="5"/>
  <c r="AP17" i="5"/>
  <c r="Z17" i="5"/>
  <c r="J17" i="5"/>
  <c r="AH16" i="5"/>
  <c r="R16" i="5"/>
  <c r="AP15" i="5"/>
  <c r="Z15" i="5"/>
  <c r="J15" i="5"/>
  <c r="AH14" i="5"/>
  <c r="R14" i="5"/>
  <c r="AP13" i="5"/>
  <c r="Z13" i="5"/>
  <c r="J13" i="5"/>
  <c r="AH12" i="5"/>
  <c r="R12" i="5"/>
  <c r="AP11" i="5"/>
  <c r="Z11" i="5"/>
  <c r="J11" i="5"/>
  <c r="AH8" i="5"/>
  <c r="R8" i="5"/>
  <c r="AP7" i="5"/>
  <c r="Z7" i="5"/>
  <c r="J7" i="5"/>
  <c r="AH6" i="5"/>
  <c r="V6" i="5"/>
  <c r="N6" i="5"/>
  <c r="F6" i="5"/>
  <c r="AL54" i="4"/>
  <c r="AD54" i="4"/>
  <c r="V54" i="4"/>
  <c r="N54" i="4"/>
  <c r="F54" i="4"/>
  <c r="AL53" i="4"/>
  <c r="AD53" i="4"/>
  <c r="V53" i="4"/>
  <c r="N53" i="4"/>
  <c r="F53" i="4"/>
  <c r="AL52" i="4"/>
  <c r="AD52" i="4"/>
  <c r="V52" i="4"/>
  <c r="N52" i="4"/>
  <c r="F52" i="4"/>
  <c r="AL51" i="4"/>
  <c r="AD51" i="4"/>
  <c r="V51" i="4"/>
  <c r="N51" i="4"/>
  <c r="F51" i="4"/>
  <c r="AL50" i="4"/>
  <c r="AD50" i="4"/>
  <c r="V50" i="4"/>
  <c r="N50" i="4"/>
  <c r="F50" i="4"/>
  <c r="AL49" i="4"/>
  <c r="AD49" i="4"/>
  <c r="V49" i="4"/>
  <c r="N49" i="4"/>
  <c r="F49" i="4"/>
  <c r="AL48" i="4"/>
  <c r="AD48" i="4"/>
  <c r="V48" i="4"/>
  <c r="N48" i="4"/>
  <c r="F48" i="4"/>
  <c r="AL47" i="4"/>
  <c r="AD47" i="4"/>
  <c r="V47" i="4"/>
  <c r="N47" i="4"/>
  <c r="F47" i="4"/>
  <c r="AL46" i="4"/>
  <c r="AD46" i="4"/>
  <c r="V46" i="4"/>
  <c r="N46" i="4"/>
  <c r="F46" i="4"/>
  <c r="AL45" i="4"/>
  <c r="AD45" i="4"/>
  <c r="V45" i="4"/>
  <c r="N45" i="4"/>
  <c r="F45" i="4"/>
  <c r="AL42" i="4"/>
  <c r="AD42" i="4"/>
  <c r="V42" i="4"/>
  <c r="N42" i="4"/>
  <c r="F42" i="4"/>
  <c r="AL41" i="4"/>
  <c r="AD41" i="4"/>
  <c r="V41" i="4"/>
  <c r="N41" i="4"/>
  <c r="F41" i="4"/>
  <c r="AL39" i="4"/>
  <c r="AD39" i="4"/>
  <c r="V39" i="4"/>
  <c r="N39" i="4"/>
  <c r="F39" i="4"/>
  <c r="AL36" i="4"/>
  <c r="AD36" i="4"/>
  <c r="V36" i="4"/>
  <c r="N36" i="4"/>
  <c r="F36" i="4"/>
  <c r="AL35" i="4"/>
  <c r="AD35" i="4"/>
  <c r="V35" i="4"/>
  <c r="N35" i="4"/>
  <c r="F35" i="4"/>
  <c r="AL34" i="4"/>
  <c r="AD34" i="4"/>
  <c r="V34" i="4"/>
  <c r="N34" i="4"/>
  <c r="F34" i="4"/>
  <c r="AL33" i="4"/>
  <c r="AD33" i="4"/>
  <c r="V33" i="4"/>
  <c r="N33" i="4"/>
  <c r="AI13" i="6"/>
  <c r="S6" i="6"/>
  <c r="T22" i="5"/>
  <c r="AB19" i="5"/>
  <c r="D18" i="5"/>
  <c r="T16" i="5"/>
  <c r="AJ14" i="5"/>
  <c r="L13" i="5"/>
  <c r="AB11" i="5"/>
  <c r="D8" i="5"/>
  <c r="X6" i="5"/>
  <c r="AF54" i="4"/>
  <c r="AN53" i="4"/>
  <c r="H53" i="4"/>
  <c r="P52" i="4"/>
  <c r="X51" i="4"/>
  <c r="AF50" i="4"/>
  <c r="AN49" i="4"/>
  <c r="H49" i="4"/>
  <c r="P48" i="4"/>
  <c r="X47" i="4"/>
  <c r="AF46" i="4"/>
  <c r="AN45" i="4"/>
  <c r="H45" i="4"/>
  <c r="P42" i="4"/>
  <c r="X41" i="4"/>
  <c r="AF39" i="4"/>
  <c r="AN36" i="4"/>
  <c r="H36" i="4"/>
  <c r="P35" i="4"/>
  <c r="X34" i="4"/>
  <c r="AM33" i="4"/>
  <c r="Q33" i="4"/>
  <c r="H33" i="4"/>
  <c r="AN32" i="4"/>
  <c r="AF32" i="4"/>
  <c r="X32" i="4"/>
  <c r="P32" i="4"/>
  <c r="H32" i="4"/>
  <c r="AN31" i="4"/>
  <c r="AF31" i="4"/>
  <c r="X31" i="4"/>
  <c r="P31" i="4"/>
  <c r="H31" i="4"/>
  <c r="AN28" i="4"/>
  <c r="AF28" i="4"/>
  <c r="X28" i="4"/>
  <c r="P28" i="4"/>
  <c r="H28" i="4"/>
  <c r="AN27" i="4"/>
  <c r="AF27" i="4"/>
  <c r="X27" i="4"/>
  <c r="P27" i="4"/>
  <c r="H27" i="4"/>
  <c r="AN26" i="4"/>
  <c r="AF26" i="4"/>
  <c r="X26" i="4"/>
  <c r="P26" i="4"/>
  <c r="H26" i="4"/>
  <c r="AN25" i="4"/>
  <c r="AF25" i="4"/>
  <c r="X25" i="4"/>
  <c r="P25" i="4"/>
  <c r="H25" i="4"/>
  <c r="AN24" i="4"/>
  <c r="AF24" i="4"/>
  <c r="X24" i="4"/>
  <c r="P24" i="4"/>
  <c r="H24" i="4"/>
  <c r="AN23" i="4"/>
  <c r="AF23" i="4"/>
  <c r="X23" i="4"/>
  <c r="P23" i="4"/>
  <c r="H23" i="4"/>
  <c r="AN22" i="4"/>
  <c r="AF22" i="4"/>
  <c r="X22" i="4"/>
  <c r="P22" i="4"/>
  <c r="H22" i="4"/>
  <c r="AN21" i="4"/>
  <c r="AF21" i="4"/>
  <c r="X21" i="4"/>
  <c r="P21" i="4"/>
  <c r="H21" i="4"/>
  <c r="AN18" i="4"/>
  <c r="AF18" i="4"/>
  <c r="X18" i="4"/>
  <c r="P18" i="4"/>
  <c r="H18" i="4"/>
  <c r="AN17" i="4"/>
  <c r="AF17" i="4"/>
  <c r="X17" i="4"/>
  <c r="P17" i="4"/>
  <c r="H17" i="4"/>
  <c r="AN16" i="4"/>
  <c r="AF16" i="4"/>
  <c r="X16" i="4"/>
  <c r="P16" i="4"/>
  <c r="H16" i="4"/>
  <c r="AN15" i="4"/>
  <c r="AF15" i="4"/>
  <c r="X15" i="4"/>
  <c r="P15" i="4"/>
  <c r="H15" i="4"/>
  <c r="AN14" i="4"/>
  <c r="AF14" i="4"/>
  <c r="X14" i="4"/>
  <c r="P14" i="4"/>
  <c r="H14" i="4"/>
  <c r="AN13" i="4"/>
  <c r="AF13" i="4"/>
  <c r="X13" i="4"/>
  <c r="P13" i="4"/>
  <c r="H13" i="4"/>
  <c r="AN12" i="4"/>
  <c r="AF12" i="4"/>
  <c r="X12" i="4"/>
  <c r="P12" i="4"/>
  <c r="H12" i="4"/>
  <c r="AN11" i="4"/>
  <c r="AF11" i="4"/>
  <c r="X11" i="4"/>
  <c r="P11" i="4"/>
  <c r="H11" i="4"/>
  <c r="AN10" i="4"/>
  <c r="AF10" i="4"/>
  <c r="X10" i="4"/>
  <c r="AA13" i="6"/>
  <c r="K6" i="6"/>
  <c r="S22" i="5"/>
  <c r="AA19" i="5"/>
  <c r="C18" i="5"/>
  <c r="S16" i="5"/>
  <c r="AI14" i="5"/>
  <c r="K13" i="5"/>
  <c r="AA11" i="5"/>
  <c r="C8" i="5"/>
  <c r="W6" i="5"/>
  <c r="AE54" i="4"/>
  <c r="AM53" i="4"/>
  <c r="G53" i="4"/>
  <c r="O52" i="4"/>
  <c r="W51" i="4"/>
  <c r="AE50" i="4"/>
  <c r="AM49" i="4"/>
  <c r="G49" i="4"/>
  <c r="O48" i="4"/>
  <c r="W47" i="4"/>
  <c r="AE46" i="4"/>
  <c r="AM45" i="4"/>
  <c r="G45" i="4"/>
  <c r="O42" i="4"/>
  <c r="W41" i="4"/>
  <c r="AE39" i="4"/>
  <c r="AM36" i="4"/>
  <c r="G36" i="4"/>
  <c r="O35" i="4"/>
  <c r="W34" i="4"/>
  <c r="AI33" i="4"/>
  <c r="P33" i="4"/>
  <c r="G33" i="4"/>
  <c r="AM32" i="4"/>
  <c r="AE32" i="4"/>
  <c r="W32" i="4"/>
  <c r="O32" i="4"/>
  <c r="G32" i="4"/>
  <c r="AM31" i="4"/>
  <c r="AE31" i="4"/>
  <c r="W31" i="4"/>
  <c r="O31" i="4"/>
  <c r="G31" i="4"/>
  <c r="AM28" i="4"/>
  <c r="AE28" i="4"/>
  <c r="W28" i="4"/>
  <c r="O28" i="4"/>
  <c r="G28" i="4"/>
  <c r="AM27" i="4"/>
  <c r="AE27" i="4"/>
  <c r="W27" i="4"/>
  <c r="O27" i="4"/>
  <c r="G27" i="4"/>
  <c r="AM26" i="4"/>
  <c r="AE26" i="4"/>
  <c r="W26" i="4"/>
  <c r="O26" i="4"/>
  <c r="G26" i="4"/>
  <c r="AM25" i="4"/>
  <c r="AE25" i="4"/>
  <c r="W25" i="4"/>
  <c r="O25" i="4"/>
  <c r="G25" i="4"/>
  <c r="AM24" i="4"/>
  <c r="AE24" i="4"/>
  <c r="W24" i="4"/>
  <c r="O24" i="4"/>
  <c r="G24" i="4"/>
  <c r="AM23" i="4"/>
  <c r="AE23" i="4"/>
  <c r="W23" i="4"/>
  <c r="O23" i="4"/>
  <c r="G23" i="4"/>
  <c r="AM22" i="4"/>
  <c r="AE22" i="4"/>
  <c r="W22" i="4"/>
  <c r="O22" i="4"/>
  <c r="G22" i="4"/>
  <c r="AM21" i="4"/>
  <c r="AE21" i="4"/>
  <c r="W21" i="4"/>
  <c r="O21" i="4"/>
  <c r="G21" i="4"/>
  <c r="AM18" i="4"/>
  <c r="AE18" i="4"/>
  <c r="W18" i="4"/>
  <c r="O18" i="4"/>
  <c r="G18" i="4"/>
  <c r="AM17" i="4"/>
  <c r="AE17" i="4"/>
  <c r="W17" i="4"/>
  <c r="O17" i="4"/>
  <c r="G17" i="4"/>
  <c r="AM16" i="4"/>
  <c r="AE16" i="4"/>
  <c r="W16" i="4"/>
  <c r="O16" i="4"/>
  <c r="G16" i="4"/>
  <c r="AM15" i="4"/>
  <c r="AE15" i="4"/>
  <c r="W15" i="4"/>
  <c r="O15" i="4"/>
  <c r="G15" i="4"/>
  <c r="AM14" i="4"/>
  <c r="AE14" i="4"/>
  <c r="W14" i="4"/>
  <c r="O14" i="4"/>
  <c r="G14" i="4"/>
  <c r="AM13" i="4"/>
  <c r="AE13" i="4"/>
  <c r="W13" i="4"/>
  <c r="O13" i="4"/>
  <c r="G13" i="4"/>
  <c r="AM12" i="4"/>
  <c r="AE12" i="4"/>
  <c r="W12" i="4"/>
  <c r="O12" i="4"/>
  <c r="G12" i="4"/>
  <c r="AM11" i="4"/>
  <c r="AE11" i="4"/>
  <c r="W11" i="4"/>
  <c r="O11" i="4"/>
  <c r="G11" i="4"/>
  <c r="AM10" i="4"/>
  <c r="AE10" i="4"/>
  <c r="W10" i="4"/>
  <c r="K12" i="6"/>
  <c r="AI26" i="5"/>
  <c r="AK20" i="5"/>
  <c r="L19" i="5"/>
  <c r="AB17" i="5"/>
  <c r="D16" i="5"/>
  <c r="T14" i="5"/>
  <c r="AJ12" i="5"/>
  <c r="L11" i="5"/>
  <c r="AB7" i="5"/>
  <c r="P6" i="5"/>
  <c r="X54" i="4"/>
  <c r="AF53" i="4"/>
  <c r="AN52" i="4"/>
  <c r="H52" i="4"/>
  <c r="P51" i="4"/>
  <c r="X50" i="4"/>
  <c r="AF49" i="4"/>
  <c r="AN48" i="4"/>
  <c r="H48" i="4"/>
  <c r="P47" i="4"/>
  <c r="X46" i="4"/>
  <c r="AF45" i="4"/>
  <c r="AN42" i="4"/>
  <c r="H42" i="4"/>
  <c r="P41" i="4"/>
  <c r="X39" i="4"/>
  <c r="AF36" i="4"/>
  <c r="AN35" i="4"/>
  <c r="H35" i="4"/>
  <c r="P34" i="4"/>
  <c r="AF33" i="4"/>
  <c r="O33" i="4"/>
  <c r="F33" i="4"/>
  <c r="AL32" i="4"/>
  <c r="AD32" i="4"/>
  <c r="V32" i="4"/>
  <c r="N32" i="4"/>
  <c r="F32" i="4"/>
  <c r="AL31" i="4"/>
  <c r="AD31" i="4"/>
  <c r="V31" i="4"/>
  <c r="N31" i="4"/>
  <c r="F31" i="4"/>
  <c r="AL28" i="4"/>
  <c r="AD28" i="4"/>
  <c r="V28" i="4"/>
  <c r="N28" i="4"/>
  <c r="F28" i="4"/>
  <c r="AL27" i="4"/>
  <c r="AD27" i="4"/>
  <c r="V27" i="4"/>
  <c r="N27" i="4"/>
  <c r="F27" i="4"/>
  <c r="AL26" i="4"/>
  <c r="AD26" i="4"/>
  <c r="V26" i="4"/>
  <c r="N26" i="4"/>
  <c r="F26" i="4"/>
  <c r="AL25" i="4"/>
  <c r="AD25" i="4"/>
  <c r="V25" i="4"/>
  <c r="N25" i="4"/>
  <c r="F25" i="4"/>
  <c r="AL24" i="4"/>
  <c r="AD24" i="4"/>
  <c r="V24" i="4"/>
  <c r="N24" i="4"/>
  <c r="F24" i="4"/>
  <c r="AL23" i="4"/>
  <c r="AD23" i="4"/>
  <c r="V23" i="4"/>
  <c r="N23" i="4"/>
  <c r="F23" i="4"/>
  <c r="AL22" i="4"/>
  <c r="AD22" i="4"/>
  <c r="V22" i="4"/>
  <c r="N22" i="4"/>
  <c r="F22" i="4"/>
  <c r="AL21" i="4"/>
  <c r="AD21" i="4"/>
  <c r="V21" i="4"/>
  <c r="N21" i="4"/>
  <c r="F21" i="4"/>
  <c r="AL18" i="4"/>
  <c r="AD18" i="4"/>
  <c r="V18" i="4"/>
  <c r="N18" i="4"/>
  <c r="F18" i="4"/>
  <c r="AL17" i="4"/>
  <c r="AD17" i="4"/>
  <c r="V17" i="4"/>
  <c r="N17" i="4"/>
  <c r="F17" i="4"/>
  <c r="AL16" i="4"/>
  <c r="AD16" i="4"/>
  <c r="V16" i="4"/>
  <c r="N16" i="4"/>
  <c r="F16" i="4"/>
  <c r="AL15" i="4"/>
  <c r="AD15" i="4"/>
  <c r="V15" i="4"/>
  <c r="N15" i="4"/>
  <c r="F15" i="4"/>
  <c r="AL14" i="4"/>
  <c r="AD14" i="4"/>
  <c r="V14" i="4"/>
  <c r="N14" i="4"/>
  <c r="F14" i="4"/>
  <c r="AL13" i="4"/>
  <c r="AD13" i="4"/>
  <c r="V13" i="4"/>
  <c r="N13" i="4"/>
  <c r="F13" i="4"/>
  <c r="AL12" i="4"/>
  <c r="AD12" i="4"/>
  <c r="V12" i="4"/>
  <c r="N12" i="4"/>
  <c r="F12" i="4"/>
  <c r="AL11" i="4"/>
  <c r="AD11" i="4"/>
  <c r="V11" i="4"/>
  <c r="N11" i="4"/>
  <c r="F11" i="4"/>
  <c r="AL10" i="4"/>
  <c r="C12" i="6"/>
  <c r="AA26" i="5"/>
  <c r="AJ20" i="5"/>
  <c r="K19" i="5"/>
  <c r="AA17" i="5"/>
  <c r="C16" i="5"/>
  <c r="S14" i="5"/>
  <c r="AI12" i="5"/>
  <c r="K11" i="5"/>
  <c r="AA7" i="5"/>
  <c r="O6" i="5"/>
  <c r="W54" i="4"/>
  <c r="AE53" i="4"/>
  <c r="AM52" i="4"/>
  <c r="G52" i="4"/>
  <c r="O51" i="4"/>
  <c r="W50" i="4"/>
  <c r="AE49" i="4"/>
  <c r="AM48" i="4"/>
  <c r="G48" i="4"/>
  <c r="O47" i="4"/>
  <c r="W46" i="4"/>
  <c r="AE45" i="4"/>
  <c r="AM42" i="4"/>
  <c r="G42" i="4"/>
  <c r="O41" i="4"/>
  <c r="W39" i="4"/>
  <c r="AE36" i="4"/>
  <c r="AM35" i="4"/>
  <c r="G35" i="4"/>
  <c r="O34" i="4"/>
  <c r="AE33" i="4"/>
  <c r="M33" i="4"/>
  <c r="E33" i="4"/>
  <c r="AK32" i="4"/>
  <c r="AC32" i="4"/>
  <c r="U32" i="4"/>
  <c r="M32" i="4"/>
  <c r="E32" i="4"/>
  <c r="AK31" i="4"/>
  <c r="AC31" i="4"/>
  <c r="U31" i="4"/>
  <c r="M31" i="4"/>
  <c r="E31" i="4"/>
  <c r="AK28" i="4"/>
  <c r="AC28" i="4"/>
  <c r="U28" i="4"/>
  <c r="M28" i="4"/>
  <c r="E28" i="4"/>
  <c r="AK27" i="4"/>
  <c r="AC27" i="4"/>
  <c r="U27" i="4"/>
  <c r="M27" i="4"/>
  <c r="E27" i="4"/>
  <c r="AK26" i="4"/>
  <c r="AC26" i="4"/>
  <c r="U26" i="4"/>
  <c r="M26" i="4"/>
  <c r="E26" i="4"/>
  <c r="AK25" i="4"/>
  <c r="AC25" i="4"/>
  <c r="U25" i="4"/>
  <c r="M25" i="4"/>
  <c r="E25" i="4"/>
  <c r="AK24" i="4"/>
  <c r="AC24" i="4"/>
  <c r="U24" i="4"/>
  <c r="M24" i="4"/>
  <c r="E24" i="4"/>
  <c r="AK23" i="4"/>
  <c r="AC23" i="4"/>
  <c r="U23" i="4"/>
  <c r="M23" i="4"/>
  <c r="E23" i="4"/>
  <c r="AK22" i="4"/>
  <c r="AC22" i="4"/>
  <c r="U22" i="4"/>
  <c r="M22" i="4"/>
  <c r="E22" i="4"/>
  <c r="AK21" i="4"/>
  <c r="AC21" i="4"/>
  <c r="U21" i="4"/>
  <c r="M21" i="4"/>
  <c r="E21" i="4"/>
  <c r="AK18" i="4"/>
  <c r="AC18" i="4"/>
  <c r="U18" i="4"/>
  <c r="M18" i="4"/>
  <c r="E18" i="4"/>
  <c r="AK17" i="4"/>
  <c r="AC17" i="4"/>
  <c r="U17" i="4"/>
  <c r="M17" i="4"/>
  <c r="E17" i="4"/>
  <c r="AK16" i="4"/>
  <c r="AC16" i="4"/>
  <c r="U16" i="4"/>
  <c r="M16" i="4"/>
  <c r="E16" i="4"/>
  <c r="AK15" i="4"/>
  <c r="AC15" i="4"/>
  <c r="U15" i="4"/>
  <c r="M15" i="4"/>
  <c r="E15" i="4"/>
  <c r="AK14" i="4"/>
  <c r="AC14" i="4"/>
  <c r="U14" i="4"/>
  <c r="M14" i="4"/>
  <c r="E14" i="4"/>
  <c r="AK13" i="4"/>
  <c r="AC13" i="4"/>
  <c r="U13" i="4"/>
  <c r="M13" i="4"/>
  <c r="E13" i="4"/>
  <c r="AK12" i="4"/>
  <c r="AC12" i="4"/>
  <c r="U12" i="4"/>
  <c r="M12" i="4"/>
  <c r="E12" i="4"/>
  <c r="AK11" i="4"/>
  <c r="AC11" i="4"/>
  <c r="U11" i="4"/>
  <c r="M11" i="4"/>
  <c r="E11" i="4"/>
  <c r="AK10" i="4"/>
  <c r="AC10" i="4"/>
  <c r="U10" i="4"/>
  <c r="M10" i="4"/>
  <c r="AA9" i="6"/>
  <c r="K25" i="5"/>
  <c r="T20" i="5"/>
  <c r="AJ18" i="5"/>
  <c r="L17" i="5"/>
  <c r="AB15" i="5"/>
  <c r="D14" i="5"/>
  <c r="T12" i="5"/>
  <c r="AJ8" i="5"/>
  <c r="L7" i="5"/>
  <c r="H6" i="5"/>
  <c r="P54" i="4"/>
  <c r="X53" i="4"/>
  <c r="AF52" i="4"/>
  <c r="AN51" i="4"/>
  <c r="H51" i="4"/>
  <c r="P50" i="4"/>
  <c r="X49" i="4"/>
  <c r="AF48" i="4"/>
  <c r="AN47" i="4"/>
  <c r="H47" i="4"/>
  <c r="P46" i="4"/>
  <c r="X45" i="4"/>
  <c r="AF42" i="4"/>
  <c r="AN41" i="4"/>
  <c r="H41" i="4"/>
  <c r="P39" i="4"/>
  <c r="X36" i="4"/>
  <c r="AF35" i="4"/>
  <c r="AN34" i="4"/>
  <c r="H34" i="4"/>
  <c r="AA33" i="4"/>
  <c r="L33" i="4"/>
  <c r="D33" i="4"/>
  <c r="AJ32" i="4"/>
  <c r="AB32" i="4"/>
  <c r="T32" i="4"/>
  <c r="L32" i="4"/>
  <c r="D32" i="4"/>
  <c r="AJ31" i="4"/>
  <c r="AB31" i="4"/>
  <c r="T31" i="4"/>
  <c r="L31" i="4"/>
  <c r="D31" i="4"/>
  <c r="AJ28" i="4"/>
  <c r="AB28" i="4"/>
  <c r="T28" i="4"/>
  <c r="L28" i="4"/>
  <c r="D28" i="4"/>
  <c r="AJ27" i="4"/>
  <c r="AB27" i="4"/>
  <c r="T27" i="4"/>
  <c r="L27" i="4"/>
  <c r="D27" i="4"/>
  <c r="AJ26" i="4"/>
  <c r="AB26" i="4"/>
  <c r="T26" i="4"/>
  <c r="L26" i="4"/>
  <c r="D26" i="4"/>
  <c r="AJ25" i="4"/>
  <c r="AB25" i="4"/>
  <c r="T25" i="4"/>
  <c r="L25" i="4"/>
  <c r="D25" i="4"/>
  <c r="AJ24" i="4"/>
  <c r="AB24" i="4"/>
  <c r="T24" i="4"/>
  <c r="L24" i="4"/>
  <c r="D24" i="4"/>
  <c r="AJ23" i="4"/>
  <c r="AB23" i="4"/>
  <c r="T23" i="4"/>
  <c r="L23" i="4"/>
  <c r="D23" i="4"/>
  <c r="AJ22" i="4"/>
  <c r="AB22" i="4"/>
  <c r="T22" i="4"/>
  <c r="L22" i="4"/>
  <c r="D22" i="4"/>
  <c r="AJ21" i="4"/>
  <c r="AB21" i="4"/>
  <c r="T21" i="4"/>
  <c r="L21" i="4"/>
  <c r="D21" i="4"/>
  <c r="AJ18" i="4"/>
  <c r="AB18" i="4"/>
  <c r="T18" i="4"/>
  <c r="L18" i="4"/>
  <c r="D18" i="4"/>
  <c r="AJ17" i="4"/>
  <c r="AB17" i="4"/>
  <c r="T17" i="4"/>
  <c r="L17" i="4"/>
  <c r="D17" i="4"/>
  <c r="AJ16" i="4"/>
  <c r="AB16" i="4"/>
  <c r="T16" i="4"/>
  <c r="L16" i="4"/>
  <c r="D16" i="4"/>
  <c r="AJ15" i="4"/>
  <c r="AB15" i="4"/>
  <c r="T15" i="4"/>
  <c r="L15" i="4"/>
  <c r="D15" i="4"/>
  <c r="AJ14" i="4"/>
  <c r="AB14" i="4"/>
  <c r="T14" i="4"/>
  <c r="L14" i="4"/>
  <c r="D14" i="4"/>
  <c r="AJ13" i="4"/>
  <c r="AB13" i="4"/>
  <c r="T13" i="4"/>
  <c r="L13" i="4"/>
  <c r="D13" i="4"/>
  <c r="AJ12" i="4"/>
  <c r="AB12" i="4"/>
  <c r="T12" i="4"/>
  <c r="L12" i="4"/>
  <c r="D12" i="4"/>
  <c r="AJ11" i="4"/>
  <c r="AB11" i="4"/>
  <c r="T11" i="4"/>
  <c r="L11" i="4"/>
  <c r="D11" i="4"/>
  <c r="AJ10" i="4"/>
  <c r="AB10" i="4"/>
  <c r="T10" i="4"/>
  <c r="AI7" i="6"/>
  <c r="AK22" i="5"/>
  <c r="C20" i="5"/>
  <c r="S18" i="5"/>
  <c r="AI16" i="5"/>
  <c r="K15" i="5"/>
  <c r="AA13" i="5"/>
  <c r="C12" i="5"/>
  <c r="S8" i="5"/>
  <c r="AI6" i="5"/>
  <c r="AM54" i="4"/>
  <c r="G54" i="4"/>
  <c r="O53" i="4"/>
  <c r="W52" i="4"/>
  <c r="AE51" i="4"/>
  <c r="AM50" i="4"/>
  <c r="G50" i="4"/>
  <c r="O49" i="4"/>
  <c r="W48" i="4"/>
  <c r="AE47" i="4"/>
  <c r="AM46" i="4"/>
  <c r="G46" i="4"/>
  <c r="O45" i="4"/>
  <c r="W42" i="4"/>
  <c r="AE41" i="4"/>
  <c r="AM39" i="4"/>
  <c r="G39" i="4"/>
  <c r="O36" i="4"/>
  <c r="W35" i="4"/>
  <c r="AE34" i="4"/>
  <c r="AN33" i="4"/>
  <c r="S33" i="4"/>
  <c r="I33" i="4"/>
  <c r="AO32" i="4"/>
  <c r="AG32" i="4"/>
  <c r="Y32" i="4"/>
  <c r="Q32" i="4"/>
  <c r="I32" i="4"/>
  <c r="AO31" i="4"/>
  <c r="AG31" i="4"/>
  <c r="Y31" i="4"/>
  <c r="Q31" i="4"/>
  <c r="I31" i="4"/>
  <c r="AO28" i="4"/>
  <c r="AG28" i="4"/>
  <c r="Y28" i="4"/>
  <c r="Q28" i="4"/>
  <c r="I28" i="4"/>
  <c r="AO27" i="4"/>
  <c r="AG27" i="4"/>
  <c r="Y27" i="4"/>
  <c r="Q27" i="4"/>
  <c r="I27" i="4"/>
  <c r="AO26" i="4"/>
  <c r="AG26" i="4"/>
  <c r="Y26" i="4"/>
  <c r="Q26" i="4"/>
  <c r="I26" i="4"/>
  <c r="AO25" i="4"/>
  <c r="AG25" i="4"/>
  <c r="Y25" i="4"/>
  <c r="Q25" i="4"/>
  <c r="I25" i="4"/>
  <c r="AO24" i="4"/>
  <c r="AG24" i="4"/>
  <c r="Y24" i="4"/>
  <c r="Q24" i="4"/>
  <c r="I24" i="4"/>
  <c r="AO23" i="4"/>
  <c r="AG23" i="4"/>
  <c r="Y23" i="4"/>
  <c r="Q23" i="4"/>
  <c r="I23" i="4"/>
  <c r="AO22" i="4"/>
  <c r="AG22" i="4"/>
  <c r="Y22" i="4"/>
  <c r="Q22" i="4"/>
  <c r="I22" i="4"/>
  <c r="AO21" i="4"/>
  <c r="AG21" i="4"/>
  <c r="Y21" i="4"/>
  <c r="Q21" i="4"/>
  <c r="I21" i="4"/>
  <c r="AO18" i="4"/>
  <c r="AG18" i="4"/>
  <c r="Y18" i="4"/>
  <c r="Q18" i="4"/>
  <c r="I18" i="4"/>
  <c r="AO17" i="4"/>
  <c r="AG17" i="4"/>
  <c r="Y17" i="4"/>
  <c r="Q17" i="4"/>
  <c r="I17" i="4"/>
  <c r="AO16" i="4"/>
  <c r="AG16" i="4"/>
  <c r="Y16" i="4"/>
  <c r="Q16" i="4"/>
  <c r="I16" i="4"/>
  <c r="AO15" i="4"/>
  <c r="AG15" i="4"/>
  <c r="Y15" i="4"/>
  <c r="Q15" i="4"/>
  <c r="I15" i="4"/>
  <c r="AO14" i="4"/>
  <c r="AG14" i="4"/>
  <c r="Y14" i="4"/>
  <c r="Q14" i="4"/>
  <c r="I14" i="4"/>
  <c r="AO13" i="4"/>
  <c r="AG13" i="4"/>
  <c r="Y13" i="4"/>
  <c r="Q13" i="4"/>
  <c r="I13" i="4"/>
  <c r="AO12" i="4"/>
  <c r="AG12" i="4"/>
  <c r="Y12" i="4"/>
  <c r="Q12" i="4"/>
  <c r="I12" i="4"/>
  <c r="AO11" i="4"/>
  <c r="AG11" i="4"/>
  <c r="Y11" i="4"/>
  <c r="Q11" i="4"/>
  <c r="I11" i="4"/>
  <c r="AO10" i="4"/>
  <c r="AG10" i="4"/>
  <c r="Y10" i="4"/>
  <c r="S9" i="6"/>
  <c r="K17" i="5"/>
  <c r="AI8" i="5"/>
  <c r="W53" i="4"/>
  <c r="O50" i="4"/>
  <c r="G47" i="4"/>
  <c r="AM41" i="4"/>
  <c r="AE35" i="4"/>
  <c r="K33" i="4"/>
  <c r="S32" i="4"/>
  <c r="AA31" i="4"/>
  <c r="AI28" i="4"/>
  <c r="C28" i="4"/>
  <c r="K27" i="4"/>
  <c r="S26" i="4"/>
  <c r="AA25" i="4"/>
  <c r="AI24" i="4"/>
  <c r="C24" i="4"/>
  <c r="K23" i="4"/>
  <c r="S22" i="4"/>
  <c r="AA21" i="4"/>
  <c r="AI18" i="4"/>
  <c r="C18" i="4"/>
  <c r="K17" i="4"/>
  <c r="S16" i="4"/>
  <c r="AA15" i="4"/>
  <c r="AI14" i="4"/>
  <c r="C14" i="4"/>
  <c r="K13" i="4"/>
  <c r="S12" i="4"/>
  <c r="AA11" i="4"/>
  <c r="AI10" i="4"/>
  <c r="Q10" i="4"/>
  <c r="H10" i="4"/>
  <c r="AN9" i="4"/>
  <c r="AF9" i="4"/>
  <c r="X9" i="4"/>
  <c r="P9" i="4"/>
  <c r="H9" i="4"/>
  <c r="AN8" i="4"/>
  <c r="AF8" i="4"/>
  <c r="X8" i="4"/>
  <c r="P8" i="4"/>
  <c r="H8" i="4"/>
  <c r="AN7" i="4"/>
  <c r="AF7" i="4"/>
  <c r="X7" i="4"/>
  <c r="P7" i="4"/>
  <c r="H7" i="4"/>
  <c r="AN70" i="3"/>
  <c r="AF70" i="3"/>
  <c r="X70" i="3"/>
  <c r="P70" i="3"/>
  <c r="H70" i="3"/>
  <c r="AN69" i="3"/>
  <c r="AF69" i="3"/>
  <c r="X69" i="3"/>
  <c r="P69" i="3"/>
  <c r="H69" i="3"/>
  <c r="AN68" i="3"/>
  <c r="AF68" i="3"/>
  <c r="X68" i="3"/>
  <c r="P68" i="3"/>
  <c r="H68" i="3"/>
  <c r="AN67" i="3"/>
  <c r="AF67" i="3"/>
  <c r="X67" i="3"/>
  <c r="P67" i="3"/>
  <c r="H67" i="3"/>
  <c r="AN66" i="3"/>
  <c r="AF66" i="3"/>
  <c r="X66" i="3"/>
  <c r="P66" i="3"/>
  <c r="H66" i="3"/>
  <c r="AN65" i="3"/>
  <c r="AF65" i="3"/>
  <c r="X65" i="3"/>
  <c r="P65" i="3"/>
  <c r="H65" i="3"/>
  <c r="AN64" i="3"/>
  <c r="AF64" i="3"/>
  <c r="X64" i="3"/>
  <c r="P64" i="3"/>
  <c r="H64" i="3"/>
  <c r="AN63" i="3"/>
  <c r="AF63" i="3"/>
  <c r="X63" i="3"/>
  <c r="P63" i="3"/>
  <c r="H63" i="3"/>
  <c r="AN62" i="3"/>
  <c r="AF62" i="3"/>
  <c r="X62" i="3"/>
  <c r="P62" i="3"/>
  <c r="H62" i="3"/>
  <c r="AN61" i="3"/>
  <c r="AF61" i="3"/>
  <c r="X61" i="3"/>
  <c r="P61" i="3"/>
  <c r="H61" i="3"/>
  <c r="AN60" i="3"/>
  <c r="AF60" i="3"/>
  <c r="X60" i="3"/>
  <c r="P60" i="3"/>
  <c r="H60" i="3"/>
  <c r="AN59" i="3"/>
  <c r="AF59" i="3"/>
  <c r="X59" i="3"/>
  <c r="P59" i="3"/>
  <c r="H59" i="3"/>
  <c r="AN55" i="3"/>
  <c r="AF55" i="3"/>
  <c r="X55" i="3"/>
  <c r="P55" i="3"/>
  <c r="H55" i="3"/>
  <c r="AN54" i="3"/>
  <c r="AF54" i="3"/>
  <c r="X54" i="3"/>
  <c r="P54" i="3"/>
  <c r="H54" i="3"/>
  <c r="AN53" i="3"/>
  <c r="AF53" i="3"/>
  <c r="X53" i="3"/>
  <c r="P53" i="3"/>
  <c r="H53" i="3"/>
  <c r="AN52" i="3"/>
  <c r="AF52" i="3"/>
  <c r="X52" i="3"/>
  <c r="P52" i="3"/>
  <c r="C8" i="6"/>
  <c r="AJ16" i="5"/>
  <c r="T8" i="5"/>
  <c r="P53" i="4"/>
  <c r="H50" i="4"/>
  <c r="AN46" i="4"/>
  <c r="AF41" i="4"/>
  <c r="X35" i="4"/>
  <c r="J33" i="4"/>
  <c r="R32" i="4"/>
  <c r="Z31" i="4"/>
  <c r="AH28" i="4"/>
  <c r="AP27" i="4"/>
  <c r="J27" i="4"/>
  <c r="R26" i="4"/>
  <c r="Z25" i="4"/>
  <c r="AH24" i="4"/>
  <c r="AP23" i="4"/>
  <c r="J23" i="4"/>
  <c r="R22" i="4"/>
  <c r="Z21" i="4"/>
  <c r="AH18" i="4"/>
  <c r="AP17" i="4"/>
  <c r="J17" i="4"/>
  <c r="R16" i="4"/>
  <c r="Z15" i="4"/>
  <c r="AH14" i="4"/>
  <c r="AP13" i="4"/>
  <c r="J13" i="4"/>
  <c r="R12" i="4"/>
  <c r="Z11" i="4"/>
  <c r="AH10" i="4"/>
  <c r="P10" i="4"/>
  <c r="G10" i="4"/>
  <c r="AM9" i="4"/>
  <c r="AE9" i="4"/>
  <c r="W9" i="4"/>
  <c r="O9" i="4"/>
  <c r="G9" i="4"/>
  <c r="AM8" i="4"/>
  <c r="AE8" i="4"/>
  <c r="W8" i="4"/>
  <c r="O8" i="4"/>
  <c r="G8" i="4"/>
  <c r="AM7" i="4"/>
  <c r="AE7" i="4"/>
  <c r="W7" i="4"/>
  <c r="O7" i="4"/>
  <c r="G7" i="4"/>
  <c r="AM70" i="3"/>
  <c r="AE70" i="3"/>
  <c r="W70" i="3"/>
  <c r="O70" i="3"/>
  <c r="G70" i="3"/>
  <c r="AM69" i="3"/>
  <c r="AE69" i="3"/>
  <c r="W69" i="3"/>
  <c r="O69" i="3"/>
  <c r="G69" i="3"/>
  <c r="AM68" i="3"/>
  <c r="AE68" i="3"/>
  <c r="W68" i="3"/>
  <c r="O68" i="3"/>
  <c r="G68" i="3"/>
  <c r="AM67" i="3"/>
  <c r="AE67" i="3"/>
  <c r="W67" i="3"/>
  <c r="O67" i="3"/>
  <c r="G67" i="3"/>
  <c r="AM66" i="3"/>
  <c r="AE66" i="3"/>
  <c r="W66" i="3"/>
  <c r="O66" i="3"/>
  <c r="G66" i="3"/>
  <c r="AM65" i="3"/>
  <c r="AE65" i="3"/>
  <c r="W65" i="3"/>
  <c r="O65" i="3"/>
  <c r="G65" i="3"/>
  <c r="AM64" i="3"/>
  <c r="AE64" i="3"/>
  <c r="W64" i="3"/>
  <c r="O64" i="3"/>
  <c r="G64" i="3"/>
  <c r="AM63" i="3"/>
  <c r="AE63" i="3"/>
  <c r="W63" i="3"/>
  <c r="O63" i="3"/>
  <c r="G63" i="3"/>
  <c r="AM62" i="3"/>
  <c r="AE62" i="3"/>
  <c r="W62" i="3"/>
  <c r="O62" i="3"/>
  <c r="G62" i="3"/>
  <c r="AM61" i="3"/>
  <c r="AE61" i="3"/>
  <c r="W61" i="3"/>
  <c r="O61" i="3"/>
  <c r="G61" i="3"/>
  <c r="AM60" i="3"/>
  <c r="AE60" i="3"/>
  <c r="W60" i="3"/>
  <c r="O60" i="3"/>
  <c r="G60" i="3"/>
  <c r="AM59" i="3"/>
  <c r="AE59" i="3"/>
  <c r="W59" i="3"/>
  <c r="O59" i="3"/>
  <c r="G59" i="3"/>
  <c r="AM55" i="3"/>
  <c r="AE55" i="3"/>
  <c r="W55" i="3"/>
  <c r="O55" i="3"/>
  <c r="G55" i="3"/>
  <c r="AM54" i="3"/>
  <c r="AE54" i="3"/>
  <c r="W54" i="3"/>
  <c r="O54" i="3"/>
  <c r="G54" i="3"/>
  <c r="AM53" i="3"/>
  <c r="AE53" i="3"/>
  <c r="W53" i="3"/>
  <c r="O53" i="3"/>
  <c r="G53" i="3"/>
  <c r="AM52" i="3"/>
  <c r="AE52" i="3"/>
  <c r="W52" i="3"/>
  <c r="O52" i="3"/>
  <c r="C25" i="5"/>
  <c r="AA15" i="5"/>
  <c r="K7" i="5"/>
  <c r="AE52" i="4"/>
  <c r="W49" i="4"/>
  <c r="O46" i="4"/>
  <c r="G41" i="4"/>
  <c r="AM34" i="4"/>
  <c r="C33" i="4"/>
  <c r="K32" i="4"/>
  <c r="S31" i="4"/>
  <c r="AA28" i="4"/>
  <c r="AI27" i="4"/>
  <c r="C27" i="4"/>
  <c r="K26" i="4"/>
  <c r="S25" i="4"/>
  <c r="AA24" i="4"/>
  <c r="AI23" i="4"/>
  <c r="C23" i="4"/>
  <c r="K22" i="4"/>
  <c r="S21" i="4"/>
  <c r="AA18" i="4"/>
  <c r="AI17" i="4"/>
  <c r="C17" i="4"/>
  <c r="K16" i="4"/>
  <c r="S15" i="4"/>
  <c r="AA14" i="4"/>
  <c r="AI13" i="4"/>
  <c r="C13" i="4"/>
  <c r="K12" i="4"/>
  <c r="S11" i="4"/>
  <c r="AD10" i="4"/>
  <c r="O10" i="4"/>
  <c r="F10" i="4"/>
  <c r="AL9" i="4"/>
  <c r="AD9" i="4"/>
  <c r="V9" i="4"/>
  <c r="N9" i="4"/>
  <c r="F9" i="4"/>
  <c r="AL8" i="4"/>
  <c r="AD8" i="4"/>
  <c r="V8" i="4"/>
  <c r="N8" i="4"/>
  <c r="F8" i="4"/>
  <c r="AL7" i="4"/>
  <c r="AD7" i="4"/>
  <c r="V7" i="4"/>
  <c r="N7" i="4"/>
  <c r="F7" i="4"/>
  <c r="AL70" i="3"/>
  <c r="AD70" i="3"/>
  <c r="V70" i="3"/>
  <c r="N70" i="3"/>
  <c r="F70" i="3"/>
  <c r="AL69" i="3"/>
  <c r="AD69" i="3"/>
  <c r="V69" i="3"/>
  <c r="N69" i="3"/>
  <c r="F69" i="3"/>
  <c r="AL68" i="3"/>
  <c r="AD68" i="3"/>
  <c r="V68" i="3"/>
  <c r="N68" i="3"/>
  <c r="F68" i="3"/>
  <c r="AL67" i="3"/>
  <c r="AD67" i="3"/>
  <c r="V67" i="3"/>
  <c r="N67" i="3"/>
  <c r="F67" i="3"/>
  <c r="AL66" i="3"/>
  <c r="AD66" i="3"/>
  <c r="V66" i="3"/>
  <c r="N66" i="3"/>
  <c r="F66" i="3"/>
  <c r="AL65" i="3"/>
  <c r="AD65" i="3"/>
  <c r="V65" i="3"/>
  <c r="N65" i="3"/>
  <c r="F65" i="3"/>
  <c r="AL64" i="3"/>
  <c r="AD64" i="3"/>
  <c r="V64" i="3"/>
  <c r="N64" i="3"/>
  <c r="F64" i="3"/>
  <c r="AL63" i="3"/>
  <c r="AD63" i="3"/>
  <c r="V63" i="3"/>
  <c r="N63" i="3"/>
  <c r="F63" i="3"/>
  <c r="AL62" i="3"/>
  <c r="AD62" i="3"/>
  <c r="V62" i="3"/>
  <c r="N62" i="3"/>
  <c r="F62" i="3"/>
  <c r="AL61" i="3"/>
  <c r="AD61" i="3"/>
  <c r="V61" i="3"/>
  <c r="N61" i="3"/>
  <c r="F61" i="3"/>
  <c r="AL60" i="3"/>
  <c r="AD60" i="3"/>
  <c r="V60" i="3"/>
  <c r="N60" i="3"/>
  <c r="F60" i="3"/>
  <c r="AL59" i="3"/>
  <c r="AD59" i="3"/>
  <c r="V59" i="3"/>
  <c r="N59" i="3"/>
  <c r="F59" i="3"/>
  <c r="AL55" i="3"/>
  <c r="AD55" i="3"/>
  <c r="V55" i="3"/>
  <c r="N55" i="3"/>
  <c r="F55" i="3"/>
  <c r="AL54" i="3"/>
  <c r="AD54" i="3"/>
  <c r="V54" i="3"/>
  <c r="N54" i="3"/>
  <c r="F54" i="3"/>
  <c r="AL53" i="3"/>
  <c r="AD53" i="3"/>
  <c r="V53" i="3"/>
  <c r="N53" i="3"/>
  <c r="F53" i="3"/>
  <c r="AL52" i="3"/>
  <c r="AD52" i="3"/>
  <c r="C23" i="5"/>
  <c r="L15" i="5"/>
  <c r="AJ6" i="5"/>
  <c r="X52" i="4"/>
  <c r="P49" i="4"/>
  <c r="H46" i="4"/>
  <c r="AN39" i="4"/>
  <c r="AF34" i="4"/>
  <c r="AP32" i="4"/>
  <c r="J32" i="4"/>
  <c r="R31" i="4"/>
  <c r="Z28" i="4"/>
  <c r="AH27" i="4"/>
  <c r="AP26" i="4"/>
  <c r="J26" i="4"/>
  <c r="R25" i="4"/>
  <c r="Z24" i="4"/>
  <c r="AH23" i="4"/>
  <c r="AP22" i="4"/>
  <c r="J22" i="4"/>
  <c r="R21" i="4"/>
  <c r="Z18" i="4"/>
  <c r="AH17" i="4"/>
  <c r="AP16" i="4"/>
  <c r="J16" i="4"/>
  <c r="R15" i="4"/>
  <c r="Z14" i="4"/>
  <c r="AH13" i="4"/>
  <c r="AP12" i="4"/>
  <c r="J12" i="4"/>
  <c r="R11" i="4"/>
  <c r="AA10" i="4"/>
  <c r="N10" i="4"/>
  <c r="E10" i="4"/>
  <c r="AK9" i="4"/>
  <c r="AC9" i="4"/>
  <c r="U9" i="4"/>
  <c r="M9" i="4"/>
  <c r="E9" i="4"/>
  <c r="AK8" i="4"/>
  <c r="AC8" i="4"/>
  <c r="U8" i="4"/>
  <c r="M8" i="4"/>
  <c r="E8" i="4"/>
  <c r="AK7" i="4"/>
  <c r="AC7" i="4"/>
  <c r="U7" i="4"/>
  <c r="M7" i="4"/>
  <c r="E7" i="4"/>
  <c r="AK70" i="3"/>
  <c r="AC70" i="3"/>
  <c r="U70" i="3"/>
  <c r="M70" i="3"/>
  <c r="E70" i="3"/>
  <c r="AK69" i="3"/>
  <c r="AC69" i="3"/>
  <c r="U69" i="3"/>
  <c r="M69" i="3"/>
  <c r="E69" i="3"/>
  <c r="AK68" i="3"/>
  <c r="AC68" i="3"/>
  <c r="U68" i="3"/>
  <c r="M68" i="3"/>
  <c r="E68" i="3"/>
  <c r="AK67" i="3"/>
  <c r="AC67" i="3"/>
  <c r="U67" i="3"/>
  <c r="M67" i="3"/>
  <c r="E67" i="3"/>
  <c r="AK66" i="3"/>
  <c r="AC66" i="3"/>
  <c r="U66" i="3"/>
  <c r="M66" i="3"/>
  <c r="E66" i="3"/>
  <c r="AK65" i="3"/>
  <c r="AC65" i="3"/>
  <c r="U65" i="3"/>
  <c r="M65" i="3"/>
  <c r="E65" i="3"/>
  <c r="AK64" i="3"/>
  <c r="AC64" i="3"/>
  <c r="U64" i="3"/>
  <c r="M64" i="3"/>
  <c r="E64" i="3"/>
  <c r="AK63" i="3"/>
  <c r="AC63" i="3"/>
  <c r="U63" i="3"/>
  <c r="M63" i="3"/>
  <c r="E63" i="3"/>
  <c r="AK62" i="3"/>
  <c r="AC62" i="3"/>
  <c r="U62" i="3"/>
  <c r="M62" i="3"/>
  <c r="E62" i="3"/>
  <c r="AK61" i="3"/>
  <c r="AC61" i="3"/>
  <c r="U61" i="3"/>
  <c r="M61" i="3"/>
  <c r="E61" i="3"/>
  <c r="AK60" i="3"/>
  <c r="AC60" i="3"/>
  <c r="U60" i="3"/>
  <c r="M60" i="3"/>
  <c r="S20" i="5"/>
  <c r="C14" i="5"/>
  <c r="G6" i="5"/>
  <c r="AM51" i="4"/>
  <c r="AE48" i="4"/>
  <c r="W45" i="4"/>
  <c r="O39" i="4"/>
  <c r="G34" i="4"/>
  <c r="AI32" i="4"/>
  <c r="C32" i="4"/>
  <c r="K31" i="4"/>
  <c r="S28" i="4"/>
  <c r="AA27" i="4"/>
  <c r="AI26" i="4"/>
  <c r="C26" i="4"/>
  <c r="K25" i="4"/>
  <c r="S24" i="4"/>
  <c r="AA23" i="4"/>
  <c r="AI22" i="4"/>
  <c r="C22" i="4"/>
  <c r="K21" i="4"/>
  <c r="S18" i="4"/>
  <c r="AA17" i="4"/>
  <c r="AI16" i="4"/>
  <c r="C16" i="4"/>
  <c r="K15" i="4"/>
  <c r="S14" i="4"/>
  <c r="AA13" i="4"/>
  <c r="AI12" i="4"/>
  <c r="C12" i="4"/>
  <c r="K11" i="4"/>
  <c r="Z10" i="4"/>
  <c r="L10" i="4"/>
  <c r="D10" i="4"/>
  <c r="AJ9" i="4"/>
  <c r="AB9" i="4"/>
  <c r="T9" i="4"/>
  <c r="L9" i="4"/>
  <c r="D9" i="4"/>
  <c r="AJ8" i="4"/>
  <c r="AB8" i="4"/>
  <c r="T8" i="4"/>
  <c r="L8" i="4"/>
  <c r="D8" i="4"/>
  <c r="AJ7" i="4"/>
  <c r="AB7" i="4"/>
  <c r="T7" i="4"/>
  <c r="L7" i="4"/>
  <c r="D7" i="4"/>
  <c r="AJ70" i="3"/>
  <c r="AB70" i="3"/>
  <c r="T70" i="3"/>
  <c r="L70" i="3"/>
  <c r="D70" i="3"/>
  <c r="AJ69" i="3"/>
  <c r="AB69" i="3"/>
  <c r="T69" i="3"/>
  <c r="L69" i="3"/>
  <c r="D69" i="3"/>
  <c r="AJ68" i="3"/>
  <c r="AB68" i="3"/>
  <c r="T68" i="3"/>
  <c r="L68" i="3"/>
  <c r="D68" i="3"/>
  <c r="AJ67" i="3"/>
  <c r="AB67" i="3"/>
  <c r="T67" i="3"/>
  <c r="L67" i="3"/>
  <c r="D67" i="3"/>
  <c r="AJ66" i="3"/>
  <c r="AB66" i="3"/>
  <c r="T66" i="3"/>
  <c r="L66" i="3"/>
  <c r="D66" i="3"/>
  <c r="AJ65" i="3"/>
  <c r="AB65" i="3"/>
  <c r="T65" i="3"/>
  <c r="L65" i="3"/>
  <c r="D65" i="3"/>
  <c r="AJ64" i="3"/>
  <c r="AB64" i="3"/>
  <c r="T64" i="3"/>
  <c r="L64" i="3"/>
  <c r="D64" i="3"/>
  <c r="AJ63" i="3"/>
  <c r="AB63" i="3"/>
  <c r="T63" i="3"/>
  <c r="L63" i="3"/>
  <c r="D63" i="3"/>
  <c r="AJ62" i="3"/>
  <c r="AB62" i="3"/>
  <c r="T62" i="3"/>
  <c r="L62" i="3"/>
  <c r="D62" i="3"/>
  <c r="AJ61" i="3"/>
  <c r="AB61" i="3"/>
  <c r="T61" i="3"/>
  <c r="L61" i="3"/>
  <c r="D61" i="3"/>
  <c r="AJ60" i="3"/>
  <c r="AB60" i="3"/>
  <c r="T60" i="3"/>
  <c r="L60" i="3"/>
  <c r="D60" i="3"/>
  <c r="AJ59" i="3"/>
  <c r="AB59" i="3"/>
  <c r="T59" i="3"/>
  <c r="L59" i="3"/>
  <c r="D59" i="3"/>
  <c r="AJ55" i="3"/>
  <c r="AB55" i="3"/>
  <c r="T55" i="3"/>
  <c r="L55" i="3"/>
  <c r="D55" i="3"/>
  <c r="AJ54" i="3"/>
  <c r="AB54" i="3"/>
  <c r="T54" i="3"/>
  <c r="L54" i="3"/>
  <c r="D54" i="3"/>
  <c r="AJ53" i="3"/>
  <c r="AB53" i="3"/>
  <c r="T53" i="3"/>
  <c r="L53" i="3"/>
  <c r="D53" i="3"/>
  <c r="AJ52" i="3"/>
  <c r="AB52" i="3"/>
  <c r="T52" i="3"/>
  <c r="D20" i="5"/>
  <c r="AB13" i="5"/>
  <c r="AN54" i="4"/>
  <c r="AF51" i="4"/>
  <c r="X48" i="4"/>
  <c r="P45" i="4"/>
  <c r="H39" i="4"/>
  <c r="C34" i="4"/>
  <c r="AH32" i="4"/>
  <c r="AP31" i="4"/>
  <c r="J31" i="4"/>
  <c r="R28" i="4"/>
  <c r="Z27" i="4"/>
  <c r="AH26" i="4"/>
  <c r="AP25" i="4"/>
  <c r="J25" i="4"/>
  <c r="R24" i="4"/>
  <c r="Z23" i="4"/>
  <c r="AH22" i="4"/>
  <c r="AP21" i="4"/>
  <c r="J21" i="4"/>
  <c r="R18" i="4"/>
  <c r="Z17" i="4"/>
  <c r="AH16" i="4"/>
  <c r="AP15" i="4"/>
  <c r="J15" i="4"/>
  <c r="R14" i="4"/>
  <c r="Z13" i="4"/>
  <c r="AH12" i="4"/>
  <c r="AP11" i="4"/>
  <c r="J11" i="4"/>
  <c r="V10" i="4"/>
  <c r="K10" i="4"/>
  <c r="C10" i="4"/>
  <c r="AI9" i="4"/>
  <c r="AA9" i="4"/>
  <c r="S9" i="4"/>
  <c r="K9" i="4"/>
  <c r="C9" i="4"/>
  <c r="AI8" i="4"/>
  <c r="AA8" i="4"/>
  <c r="S8" i="4"/>
  <c r="K8" i="4"/>
  <c r="C8" i="4"/>
  <c r="AI7" i="4"/>
  <c r="AA7" i="4"/>
  <c r="S7" i="4"/>
  <c r="K7" i="4"/>
  <c r="C7" i="4"/>
  <c r="AI70" i="3"/>
  <c r="AA70" i="3"/>
  <c r="S70" i="3"/>
  <c r="K70" i="3"/>
  <c r="C70" i="3"/>
  <c r="AI69" i="3"/>
  <c r="AA69" i="3"/>
  <c r="S69" i="3"/>
  <c r="K69" i="3"/>
  <c r="C69" i="3"/>
  <c r="AI68" i="3"/>
  <c r="AA68" i="3"/>
  <c r="S68" i="3"/>
  <c r="K68" i="3"/>
  <c r="C68" i="3"/>
  <c r="AI67" i="3"/>
  <c r="AA67" i="3"/>
  <c r="S67" i="3"/>
  <c r="K67" i="3"/>
  <c r="C67" i="3"/>
  <c r="AI66" i="3"/>
  <c r="AA66" i="3"/>
  <c r="S66" i="3"/>
  <c r="K66" i="3"/>
  <c r="C66" i="3"/>
  <c r="AI65" i="3"/>
  <c r="AA65" i="3"/>
  <c r="S65" i="3"/>
  <c r="K65" i="3"/>
  <c r="C65" i="3"/>
  <c r="AI64" i="3"/>
  <c r="AA64" i="3"/>
  <c r="S64" i="3"/>
  <c r="K64" i="3"/>
  <c r="C64" i="3"/>
  <c r="AI63" i="3"/>
  <c r="AA63" i="3"/>
  <c r="S63" i="3"/>
  <c r="K63" i="3"/>
  <c r="C63" i="3"/>
  <c r="AI62" i="3"/>
  <c r="AA62" i="3"/>
  <c r="S62" i="3"/>
  <c r="K62" i="3"/>
  <c r="C62" i="3"/>
  <c r="AI61" i="3"/>
  <c r="AA61" i="3"/>
  <c r="S61" i="3"/>
  <c r="K61" i="3"/>
  <c r="C61" i="3"/>
  <c r="AI60" i="3"/>
  <c r="AA60" i="3"/>
  <c r="S60" i="3"/>
  <c r="K60" i="3"/>
  <c r="C60" i="3"/>
  <c r="AI59" i="3"/>
  <c r="AA59" i="3"/>
  <c r="S59" i="3"/>
  <c r="K59" i="3"/>
  <c r="C59" i="3"/>
  <c r="AI55" i="3"/>
  <c r="AA55" i="3"/>
  <c r="S55" i="3"/>
  <c r="K55" i="3"/>
  <c r="C55" i="3"/>
  <c r="AI54" i="3"/>
  <c r="AA54" i="3"/>
  <c r="S54" i="3"/>
  <c r="K54" i="3"/>
  <c r="C54" i="3"/>
  <c r="AI53" i="3"/>
  <c r="AA53" i="3"/>
  <c r="S53" i="3"/>
  <c r="K53" i="3"/>
  <c r="C53" i="3"/>
  <c r="AI52" i="3"/>
  <c r="AA52" i="3"/>
  <c r="S52" i="3"/>
  <c r="T18" i="5"/>
  <c r="D12" i="5"/>
  <c r="H54" i="4"/>
  <c r="AN50" i="4"/>
  <c r="AF47" i="4"/>
  <c r="X42" i="4"/>
  <c r="P36" i="4"/>
  <c r="W33" i="4"/>
  <c r="Z32" i="4"/>
  <c r="AH31" i="4"/>
  <c r="AP28" i="4"/>
  <c r="J28" i="4"/>
  <c r="R27" i="4"/>
  <c r="Z26" i="4"/>
  <c r="AH25" i="4"/>
  <c r="AP24" i="4"/>
  <c r="J24" i="4"/>
  <c r="R23" i="4"/>
  <c r="Z22" i="4"/>
  <c r="AH21" i="4"/>
  <c r="AP18" i="4"/>
  <c r="J18" i="4"/>
  <c r="R17" i="4"/>
  <c r="Z16" i="4"/>
  <c r="AH15" i="4"/>
  <c r="AP14" i="4"/>
  <c r="J14" i="4"/>
  <c r="R13" i="4"/>
  <c r="Z12" i="4"/>
  <c r="AH11" i="4"/>
  <c r="AP10" i="4"/>
  <c r="R10" i="4"/>
  <c r="I10" i="4"/>
  <c r="AO9" i="4"/>
  <c r="AG9" i="4"/>
  <c r="Y9" i="4"/>
  <c r="Q9" i="4"/>
  <c r="I9" i="4"/>
  <c r="AO8" i="4"/>
  <c r="AG8" i="4"/>
  <c r="Y8" i="4"/>
  <c r="Q8" i="4"/>
  <c r="I8" i="4"/>
  <c r="AO7" i="4"/>
  <c r="AG7" i="4"/>
  <c r="Y7" i="4"/>
  <c r="Q7" i="4"/>
  <c r="I7" i="4"/>
  <c r="AO70" i="3"/>
  <c r="AG70" i="3"/>
  <c r="Y70" i="3"/>
  <c r="Q70" i="3"/>
  <c r="I70" i="3"/>
  <c r="AO69" i="3"/>
  <c r="AG69" i="3"/>
  <c r="Y69" i="3"/>
  <c r="Q69" i="3"/>
  <c r="I69" i="3"/>
  <c r="AO68" i="3"/>
  <c r="AG68" i="3"/>
  <c r="Y68" i="3"/>
  <c r="Q68" i="3"/>
  <c r="I68" i="3"/>
  <c r="AO67" i="3"/>
  <c r="AG67" i="3"/>
  <c r="Y67" i="3"/>
  <c r="Q67" i="3"/>
  <c r="I67" i="3"/>
  <c r="AO66" i="3"/>
  <c r="AG66" i="3"/>
  <c r="Y66" i="3"/>
  <c r="Q66" i="3"/>
  <c r="I66" i="3"/>
  <c r="AO65" i="3"/>
  <c r="AG65" i="3"/>
  <c r="Y65" i="3"/>
  <c r="Q65" i="3"/>
  <c r="I65" i="3"/>
  <c r="AO64" i="3"/>
  <c r="AG64" i="3"/>
  <c r="Y64" i="3"/>
  <c r="Q64" i="3"/>
  <c r="I64" i="3"/>
  <c r="AO63" i="3"/>
  <c r="AG63" i="3"/>
  <c r="Y63" i="3"/>
  <c r="Q63" i="3"/>
  <c r="I63" i="3"/>
  <c r="AO62" i="3"/>
  <c r="AG62" i="3"/>
  <c r="Y62" i="3"/>
  <c r="Q62" i="3"/>
  <c r="I62" i="3"/>
  <c r="AO61" i="3"/>
  <c r="AG61" i="3"/>
  <c r="Y61" i="3"/>
  <c r="Q61" i="3"/>
  <c r="I61" i="3"/>
  <c r="AO60" i="3"/>
  <c r="AG60" i="3"/>
  <c r="Y60" i="3"/>
  <c r="Q60" i="3"/>
  <c r="I60" i="3"/>
  <c r="AO59" i="3"/>
  <c r="AG59" i="3"/>
  <c r="Y59" i="3"/>
  <c r="Q59" i="3"/>
  <c r="I59" i="3"/>
  <c r="AO55" i="3"/>
  <c r="AI18" i="5"/>
  <c r="AA32" i="4"/>
  <c r="K24" i="4"/>
  <c r="AI15" i="4"/>
  <c r="J10" i="4"/>
  <c r="Z8" i="4"/>
  <c r="AP70" i="3"/>
  <c r="R69" i="3"/>
  <c r="AH67" i="3"/>
  <c r="J66" i="3"/>
  <c r="Z64" i="3"/>
  <c r="AP62" i="3"/>
  <c r="R61" i="3"/>
  <c r="AP59" i="3"/>
  <c r="J59" i="3"/>
  <c r="Y55" i="3"/>
  <c r="AP54" i="3"/>
  <c r="U54" i="3"/>
  <c r="AO53" i="3"/>
  <c r="R53" i="3"/>
  <c r="AK52" i="3"/>
  <c r="R52" i="3"/>
  <c r="H52" i="3"/>
  <c r="AN51" i="3"/>
  <c r="AF51" i="3"/>
  <c r="X51" i="3"/>
  <c r="P51" i="3"/>
  <c r="H51" i="3"/>
  <c r="AN50" i="3"/>
  <c r="AF50" i="3"/>
  <c r="X50" i="3"/>
  <c r="P50" i="3"/>
  <c r="H50" i="3"/>
  <c r="AN49" i="3"/>
  <c r="AF49" i="3"/>
  <c r="X49" i="3"/>
  <c r="P49" i="3"/>
  <c r="H49" i="3"/>
  <c r="AN48" i="3"/>
  <c r="AF48" i="3"/>
  <c r="X48" i="3"/>
  <c r="P48" i="3"/>
  <c r="H48" i="3"/>
  <c r="AN47" i="3"/>
  <c r="AF47" i="3"/>
  <c r="X47" i="3"/>
  <c r="P47" i="3"/>
  <c r="H47" i="3"/>
  <c r="AN46" i="3"/>
  <c r="AF46" i="3"/>
  <c r="X46" i="3"/>
  <c r="P46" i="3"/>
  <c r="H46" i="3"/>
  <c r="AN45" i="3"/>
  <c r="AF45" i="3"/>
  <c r="X45" i="3"/>
  <c r="P45" i="3"/>
  <c r="H45" i="3"/>
  <c r="AN44" i="3"/>
  <c r="AF44" i="3"/>
  <c r="X44" i="3"/>
  <c r="P44" i="3"/>
  <c r="H44" i="3"/>
  <c r="AN43" i="3"/>
  <c r="AF43" i="3"/>
  <c r="X43" i="3"/>
  <c r="P43" i="3"/>
  <c r="H43" i="3"/>
  <c r="AN42" i="3"/>
  <c r="AF42" i="3"/>
  <c r="X42" i="3"/>
  <c r="P42" i="3"/>
  <c r="H42" i="3"/>
  <c r="AN41" i="3"/>
  <c r="AF41" i="3"/>
  <c r="X41" i="3"/>
  <c r="P41" i="3"/>
  <c r="H41" i="3"/>
  <c r="AN40" i="3"/>
  <c r="AF40" i="3"/>
  <c r="X40" i="3"/>
  <c r="P40" i="3"/>
  <c r="H40" i="3"/>
  <c r="AN39" i="3"/>
  <c r="AF39" i="3"/>
  <c r="X39" i="3"/>
  <c r="P39" i="3"/>
  <c r="H39" i="3"/>
  <c r="AN38" i="3"/>
  <c r="AF38" i="3"/>
  <c r="X38" i="3"/>
  <c r="P38" i="3"/>
  <c r="H38" i="3"/>
  <c r="AN37" i="3"/>
  <c r="AF37" i="3"/>
  <c r="X37" i="3"/>
  <c r="P37" i="3"/>
  <c r="H37" i="3"/>
  <c r="AN36" i="3"/>
  <c r="AF36" i="3"/>
  <c r="X36" i="3"/>
  <c r="P36" i="3"/>
  <c r="H36" i="3"/>
  <c r="AN35" i="3"/>
  <c r="AF35" i="3"/>
  <c r="X35" i="3"/>
  <c r="P35" i="3"/>
  <c r="H35" i="3"/>
  <c r="AN34" i="3"/>
  <c r="AF34" i="3"/>
  <c r="X34" i="3"/>
  <c r="P34" i="3"/>
  <c r="H34" i="3"/>
  <c r="AN33" i="3"/>
  <c r="AF33" i="3"/>
  <c r="X33" i="3"/>
  <c r="P33" i="3"/>
  <c r="H33" i="3"/>
  <c r="AN32" i="3"/>
  <c r="AF32" i="3"/>
  <c r="X32" i="3"/>
  <c r="P32" i="3"/>
  <c r="H32" i="3"/>
  <c r="AN29" i="3"/>
  <c r="AF29" i="3"/>
  <c r="X29" i="3"/>
  <c r="P29" i="3"/>
  <c r="H29" i="3"/>
  <c r="S12" i="5"/>
  <c r="AI31" i="4"/>
  <c r="S23" i="4"/>
  <c r="C15" i="4"/>
  <c r="AP9" i="4"/>
  <c r="R8" i="4"/>
  <c r="AH70" i="3"/>
  <c r="J69" i="3"/>
  <c r="Z67" i="3"/>
  <c r="AP65" i="3"/>
  <c r="R64" i="3"/>
  <c r="AH62" i="3"/>
  <c r="J61" i="3"/>
  <c r="AK59" i="3"/>
  <c r="E59" i="3"/>
  <c r="U55" i="3"/>
  <c r="AO54" i="3"/>
  <c r="R54" i="3"/>
  <c r="AK53" i="3"/>
  <c r="Q53" i="3"/>
  <c r="AH52" i="3"/>
  <c r="Q52" i="3"/>
  <c r="G52" i="3"/>
  <c r="AM51" i="3"/>
  <c r="AE51" i="3"/>
  <c r="W51" i="3"/>
  <c r="O51" i="3"/>
  <c r="G51" i="3"/>
  <c r="AM50" i="3"/>
  <c r="AE50" i="3"/>
  <c r="W50" i="3"/>
  <c r="O50" i="3"/>
  <c r="G50" i="3"/>
  <c r="AM49" i="3"/>
  <c r="AE49" i="3"/>
  <c r="W49" i="3"/>
  <c r="O49" i="3"/>
  <c r="G49" i="3"/>
  <c r="AM48" i="3"/>
  <c r="AE48" i="3"/>
  <c r="W48" i="3"/>
  <c r="O48" i="3"/>
  <c r="G48" i="3"/>
  <c r="AM47" i="3"/>
  <c r="AE47" i="3"/>
  <c r="W47" i="3"/>
  <c r="O47" i="3"/>
  <c r="G47" i="3"/>
  <c r="AM46" i="3"/>
  <c r="AE46" i="3"/>
  <c r="W46" i="3"/>
  <c r="O46" i="3"/>
  <c r="G46" i="3"/>
  <c r="AM45" i="3"/>
  <c r="AE45" i="3"/>
  <c r="W45" i="3"/>
  <c r="O45" i="3"/>
  <c r="G45" i="3"/>
  <c r="AM44" i="3"/>
  <c r="AE44" i="3"/>
  <c r="W44" i="3"/>
  <c r="O44" i="3"/>
  <c r="G44" i="3"/>
  <c r="AM43" i="3"/>
  <c r="AE43" i="3"/>
  <c r="W43" i="3"/>
  <c r="O43" i="3"/>
  <c r="G43" i="3"/>
  <c r="AM42" i="3"/>
  <c r="AE42" i="3"/>
  <c r="W42" i="3"/>
  <c r="O42" i="3"/>
  <c r="G42" i="3"/>
  <c r="AM41" i="3"/>
  <c r="AE41" i="3"/>
  <c r="W41" i="3"/>
  <c r="O41" i="3"/>
  <c r="G41" i="3"/>
  <c r="AM40" i="3"/>
  <c r="AE40" i="3"/>
  <c r="W40" i="3"/>
  <c r="O40" i="3"/>
  <c r="G40" i="3"/>
  <c r="AM39" i="3"/>
  <c r="AE39" i="3"/>
  <c r="W39" i="3"/>
  <c r="O39" i="3"/>
  <c r="G39" i="3"/>
  <c r="AM38" i="3"/>
  <c r="AE38" i="3"/>
  <c r="W38" i="3"/>
  <c r="O38" i="3"/>
  <c r="G38" i="3"/>
  <c r="AM37" i="3"/>
  <c r="AE37" i="3"/>
  <c r="W37" i="3"/>
  <c r="O37" i="3"/>
  <c r="G37" i="3"/>
  <c r="AM36" i="3"/>
  <c r="AE36" i="3"/>
  <c r="W36" i="3"/>
  <c r="O36" i="3"/>
  <c r="G36" i="3"/>
  <c r="AM35" i="3"/>
  <c r="AE35" i="3"/>
  <c r="W35" i="3"/>
  <c r="O35" i="3"/>
  <c r="G35" i="3"/>
  <c r="AM34" i="3"/>
  <c r="AE34" i="3"/>
  <c r="W34" i="3"/>
  <c r="O34" i="3"/>
  <c r="G34" i="3"/>
  <c r="AM33" i="3"/>
  <c r="AE33" i="3"/>
  <c r="W33" i="3"/>
  <c r="O33" i="3"/>
  <c r="G33" i="3"/>
  <c r="AM32" i="3"/>
  <c r="AE32" i="3"/>
  <c r="W32" i="3"/>
  <c r="O32" i="3"/>
  <c r="G32" i="3"/>
  <c r="AM29" i="3"/>
  <c r="AE29" i="3"/>
  <c r="W29" i="3"/>
  <c r="O29" i="3"/>
  <c r="O54" i="4"/>
  <c r="C31" i="4"/>
  <c r="AA22" i="4"/>
  <c r="K14" i="4"/>
  <c r="AH9" i="4"/>
  <c r="J8" i="4"/>
  <c r="Z70" i="3"/>
  <c r="AP68" i="3"/>
  <c r="R67" i="3"/>
  <c r="AH65" i="3"/>
  <c r="J64" i="3"/>
  <c r="Z62" i="3"/>
  <c r="AP60" i="3"/>
  <c r="AH59" i="3"/>
  <c r="AP55" i="3"/>
  <c r="R55" i="3"/>
  <c r="AK54" i="3"/>
  <c r="Q54" i="3"/>
  <c r="AH53" i="3"/>
  <c r="M53" i="3"/>
  <c r="AG52" i="3"/>
  <c r="N52" i="3"/>
  <c r="F52" i="3"/>
  <c r="AL51" i="3"/>
  <c r="AD51" i="3"/>
  <c r="V51" i="3"/>
  <c r="N51" i="3"/>
  <c r="F51" i="3"/>
  <c r="AL50" i="3"/>
  <c r="AD50" i="3"/>
  <c r="V50" i="3"/>
  <c r="N50" i="3"/>
  <c r="F50" i="3"/>
  <c r="AL49" i="3"/>
  <c r="AD49" i="3"/>
  <c r="V49" i="3"/>
  <c r="N49" i="3"/>
  <c r="F49" i="3"/>
  <c r="AL48" i="3"/>
  <c r="AD48" i="3"/>
  <c r="V48" i="3"/>
  <c r="N48" i="3"/>
  <c r="F48" i="3"/>
  <c r="AL47" i="3"/>
  <c r="AD47" i="3"/>
  <c r="V47" i="3"/>
  <c r="N47" i="3"/>
  <c r="F47" i="3"/>
  <c r="AL46" i="3"/>
  <c r="AD46" i="3"/>
  <c r="V46" i="3"/>
  <c r="N46" i="3"/>
  <c r="F46" i="3"/>
  <c r="AL45" i="3"/>
  <c r="AD45" i="3"/>
  <c r="V45" i="3"/>
  <c r="N45" i="3"/>
  <c r="F45" i="3"/>
  <c r="AL44" i="3"/>
  <c r="AD44" i="3"/>
  <c r="V44" i="3"/>
  <c r="N44" i="3"/>
  <c r="F44" i="3"/>
  <c r="AL43" i="3"/>
  <c r="AD43" i="3"/>
  <c r="V43" i="3"/>
  <c r="N43" i="3"/>
  <c r="F43" i="3"/>
  <c r="AL42" i="3"/>
  <c r="AD42" i="3"/>
  <c r="V42" i="3"/>
  <c r="N42" i="3"/>
  <c r="F42" i="3"/>
  <c r="AL41" i="3"/>
  <c r="AD41" i="3"/>
  <c r="V41" i="3"/>
  <c r="N41" i="3"/>
  <c r="F41" i="3"/>
  <c r="AL40" i="3"/>
  <c r="AD40" i="3"/>
  <c r="V40" i="3"/>
  <c r="N40" i="3"/>
  <c r="F40" i="3"/>
  <c r="AL39" i="3"/>
  <c r="AD39" i="3"/>
  <c r="V39" i="3"/>
  <c r="N39" i="3"/>
  <c r="F39" i="3"/>
  <c r="AL38" i="3"/>
  <c r="AD38" i="3"/>
  <c r="V38" i="3"/>
  <c r="N38" i="3"/>
  <c r="F38" i="3"/>
  <c r="AL37" i="3"/>
  <c r="AD37" i="3"/>
  <c r="V37" i="3"/>
  <c r="N37" i="3"/>
  <c r="F37" i="3"/>
  <c r="AL36" i="3"/>
  <c r="AD36" i="3"/>
  <c r="V36" i="3"/>
  <c r="N36" i="3"/>
  <c r="F36" i="3"/>
  <c r="AL35" i="3"/>
  <c r="AD35" i="3"/>
  <c r="V35" i="3"/>
  <c r="N35" i="3"/>
  <c r="F35" i="3"/>
  <c r="AL34" i="3"/>
  <c r="AD34" i="3"/>
  <c r="V34" i="3"/>
  <c r="N34" i="3"/>
  <c r="F34" i="3"/>
  <c r="AL33" i="3"/>
  <c r="AD33" i="3"/>
  <c r="V33" i="3"/>
  <c r="N33" i="3"/>
  <c r="F33" i="3"/>
  <c r="AL32" i="3"/>
  <c r="AD32" i="3"/>
  <c r="V32" i="3"/>
  <c r="N32" i="3"/>
  <c r="F32" i="3"/>
  <c r="AL29" i="3"/>
  <c r="AD29" i="3"/>
  <c r="V29" i="3"/>
  <c r="N29" i="3"/>
  <c r="G51" i="4"/>
  <c r="K28" i="4"/>
  <c r="AI21" i="4"/>
  <c r="S13" i="4"/>
  <c r="Z9" i="4"/>
  <c r="AP7" i="4"/>
  <c r="R70" i="3"/>
  <c r="AH68" i="3"/>
  <c r="J67" i="3"/>
  <c r="Z65" i="3"/>
  <c r="AP63" i="3"/>
  <c r="R62" i="3"/>
  <c r="AH60" i="3"/>
  <c r="AC59" i="3"/>
  <c r="AK55" i="3"/>
  <c r="Q55" i="3"/>
  <c r="AH54" i="3"/>
  <c r="M54" i="3"/>
  <c r="AG53" i="3"/>
  <c r="J53" i="3"/>
  <c r="AC52" i="3"/>
  <c r="M52" i="3"/>
  <c r="E52" i="3"/>
  <c r="AK51" i="3"/>
  <c r="AC51" i="3"/>
  <c r="U51" i="3"/>
  <c r="M51" i="3"/>
  <c r="E51" i="3"/>
  <c r="AK50" i="3"/>
  <c r="AC50" i="3"/>
  <c r="U50" i="3"/>
  <c r="M50" i="3"/>
  <c r="E50" i="3"/>
  <c r="AK49" i="3"/>
  <c r="AC49" i="3"/>
  <c r="U49" i="3"/>
  <c r="M49" i="3"/>
  <c r="E49" i="3"/>
  <c r="AK48" i="3"/>
  <c r="AC48" i="3"/>
  <c r="U48" i="3"/>
  <c r="M48" i="3"/>
  <c r="E48" i="3"/>
  <c r="AK47" i="3"/>
  <c r="AC47" i="3"/>
  <c r="U47" i="3"/>
  <c r="M47" i="3"/>
  <c r="E47" i="3"/>
  <c r="AK46" i="3"/>
  <c r="AC46" i="3"/>
  <c r="U46" i="3"/>
  <c r="M46" i="3"/>
  <c r="E46" i="3"/>
  <c r="AK45" i="3"/>
  <c r="AC45" i="3"/>
  <c r="U45" i="3"/>
  <c r="M45" i="3"/>
  <c r="E45" i="3"/>
  <c r="AK44" i="3"/>
  <c r="AC44" i="3"/>
  <c r="U44" i="3"/>
  <c r="M44" i="3"/>
  <c r="E44" i="3"/>
  <c r="AK43" i="3"/>
  <c r="AC43" i="3"/>
  <c r="U43" i="3"/>
  <c r="M43" i="3"/>
  <c r="E43" i="3"/>
  <c r="AK42" i="3"/>
  <c r="AC42" i="3"/>
  <c r="U42" i="3"/>
  <c r="M42" i="3"/>
  <c r="E42" i="3"/>
  <c r="AK41" i="3"/>
  <c r="AC41" i="3"/>
  <c r="U41" i="3"/>
  <c r="M41" i="3"/>
  <c r="E41" i="3"/>
  <c r="AK40" i="3"/>
  <c r="AC40" i="3"/>
  <c r="U40" i="3"/>
  <c r="M40" i="3"/>
  <c r="E40" i="3"/>
  <c r="AK39" i="3"/>
  <c r="AC39" i="3"/>
  <c r="U39" i="3"/>
  <c r="M39" i="3"/>
  <c r="E39" i="3"/>
  <c r="AK38" i="3"/>
  <c r="AC38" i="3"/>
  <c r="U38" i="3"/>
  <c r="M38" i="3"/>
  <c r="E38" i="3"/>
  <c r="AK37" i="3"/>
  <c r="AC37" i="3"/>
  <c r="U37" i="3"/>
  <c r="M37" i="3"/>
  <c r="E37" i="3"/>
  <c r="AK36" i="3"/>
  <c r="AC36" i="3"/>
  <c r="U36" i="3"/>
  <c r="M36" i="3"/>
  <c r="E36" i="3"/>
  <c r="AK35" i="3"/>
  <c r="AC35" i="3"/>
  <c r="U35" i="3"/>
  <c r="M35" i="3"/>
  <c r="E35" i="3"/>
  <c r="AK34" i="3"/>
  <c r="AC34" i="3"/>
  <c r="U34" i="3"/>
  <c r="M34" i="3"/>
  <c r="E34" i="3"/>
  <c r="AK33" i="3"/>
  <c r="AM47" i="4"/>
  <c r="S27" i="4"/>
  <c r="C21" i="4"/>
  <c r="AA12" i="4"/>
  <c r="R9" i="4"/>
  <c r="AH7" i="4"/>
  <c r="J70" i="3"/>
  <c r="Z68" i="3"/>
  <c r="AP66" i="3"/>
  <c r="R65" i="3"/>
  <c r="AH63" i="3"/>
  <c r="J62" i="3"/>
  <c r="Z60" i="3"/>
  <c r="Z59" i="3"/>
  <c r="AH55" i="3"/>
  <c r="M55" i="3"/>
  <c r="AG54" i="3"/>
  <c r="J54" i="3"/>
  <c r="AC53" i="3"/>
  <c r="I53" i="3"/>
  <c r="Z52" i="3"/>
  <c r="L52" i="3"/>
  <c r="D52" i="3"/>
  <c r="AJ51" i="3"/>
  <c r="AB51" i="3"/>
  <c r="T51" i="3"/>
  <c r="L51" i="3"/>
  <c r="D51" i="3"/>
  <c r="AJ50" i="3"/>
  <c r="AB50" i="3"/>
  <c r="T50" i="3"/>
  <c r="L50" i="3"/>
  <c r="D50" i="3"/>
  <c r="AJ49" i="3"/>
  <c r="AB49" i="3"/>
  <c r="T49" i="3"/>
  <c r="L49" i="3"/>
  <c r="D49" i="3"/>
  <c r="AJ48" i="3"/>
  <c r="AB48" i="3"/>
  <c r="T48" i="3"/>
  <c r="L48" i="3"/>
  <c r="D48" i="3"/>
  <c r="AJ47" i="3"/>
  <c r="AB47" i="3"/>
  <c r="T47" i="3"/>
  <c r="L47" i="3"/>
  <c r="D47" i="3"/>
  <c r="AJ46" i="3"/>
  <c r="AB46" i="3"/>
  <c r="T46" i="3"/>
  <c r="L46" i="3"/>
  <c r="D46" i="3"/>
  <c r="AJ45" i="3"/>
  <c r="AB45" i="3"/>
  <c r="T45" i="3"/>
  <c r="L45" i="3"/>
  <c r="D45" i="3"/>
  <c r="AJ44" i="3"/>
  <c r="AB44" i="3"/>
  <c r="T44" i="3"/>
  <c r="L44" i="3"/>
  <c r="D44" i="3"/>
  <c r="AJ43" i="3"/>
  <c r="AB43" i="3"/>
  <c r="T43" i="3"/>
  <c r="L43" i="3"/>
  <c r="D43" i="3"/>
  <c r="AJ42" i="3"/>
  <c r="AB42" i="3"/>
  <c r="T42" i="3"/>
  <c r="L42" i="3"/>
  <c r="D42" i="3"/>
  <c r="AJ41" i="3"/>
  <c r="AB41" i="3"/>
  <c r="T41" i="3"/>
  <c r="L41" i="3"/>
  <c r="D41" i="3"/>
  <c r="AJ40" i="3"/>
  <c r="AB40" i="3"/>
  <c r="T40" i="3"/>
  <c r="L40" i="3"/>
  <c r="D40" i="3"/>
  <c r="AJ39" i="3"/>
  <c r="AB39" i="3"/>
  <c r="T39" i="3"/>
  <c r="L39" i="3"/>
  <c r="D39" i="3"/>
  <c r="AJ38" i="3"/>
  <c r="AB38" i="3"/>
  <c r="T38" i="3"/>
  <c r="L38" i="3"/>
  <c r="D38" i="3"/>
  <c r="AJ37" i="3"/>
  <c r="AB37" i="3"/>
  <c r="T37" i="3"/>
  <c r="L37" i="3"/>
  <c r="D37" i="3"/>
  <c r="AJ36" i="3"/>
  <c r="AB36" i="3"/>
  <c r="T36" i="3"/>
  <c r="L36" i="3"/>
  <c r="D36" i="3"/>
  <c r="AJ35" i="3"/>
  <c r="AB35" i="3"/>
  <c r="T35" i="3"/>
  <c r="L35" i="3"/>
  <c r="D35" i="3"/>
  <c r="AJ34" i="3"/>
  <c r="AB34" i="3"/>
  <c r="T34" i="3"/>
  <c r="L34" i="3"/>
  <c r="D34" i="3"/>
  <c r="AJ33" i="3"/>
  <c r="AB33" i="3"/>
  <c r="T33" i="3"/>
  <c r="L33" i="3"/>
  <c r="D33" i="3"/>
  <c r="AJ32" i="3"/>
  <c r="AB32" i="3"/>
  <c r="T32" i="3"/>
  <c r="L32" i="3"/>
  <c r="D32" i="3"/>
  <c r="AJ29" i="3"/>
  <c r="AB29" i="3"/>
  <c r="T29" i="3"/>
  <c r="AE42" i="4"/>
  <c r="AA26" i="4"/>
  <c r="K18" i="4"/>
  <c r="AI11" i="4"/>
  <c r="J9" i="4"/>
  <c r="Z7" i="4"/>
  <c r="AP69" i="3"/>
  <c r="R68" i="3"/>
  <c r="AH66" i="3"/>
  <c r="J65" i="3"/>
  <c r="Z63" i="3"/>
  <c r="AP61" i="3"/>
  <c r="R60" i="3"/>
  <c r="U59" i="3"/>
  <c r="AG55" i="3"/>
  <c r="J55" i="3"/>
  <c r="AC54" i="3"/>
  <c r="I54" i="3"/>
  <c r="Z53" i="3"/>
  <c r="E53" i="3"/>
  <c r="Y52" i="3"/>
  <c r="K52" i="3"/>
  <c r="C52" i="3"/>
  <c r="AI51" i="3"/>
  <c r="AA51" i="3"/>
  <c r="S51" i="3"/>
  <c r="K51" i="3"/>
  <c r="C51" i="3"/>
  <c r="AI50" i="3"/>
  <c r="AA50" i="3"/>
  <c r="S50" i="3"/>
  <c r="K50" i="3"/>
  <c r="C50" i="3"/>
  <c r="AI49" i="3"/>
  <c r="AA49" i="3"/>
  <c r="S49" i="3"/>
  <c r="K49" i="3"/>
  <c r="C49" i="3"/>
  <c r="AI48" i="3"/>
  <c r="AA48" i="3"/>
  <c r="S48" i="3"/>
  <c r="K48" i="3"/>
  <c r="C48" i="3"/>
  <c r="AI47" i="3"/>
  <c r="AA47" i="3"/>
  <c r="S47" i="3"/>
  <c r="K47" i="3"/>
  <c r="C47" i="3"/>
  <c r="AI46" i="3"/>
  <c r="AA46" i="3"/>
  <c r="S46" i="3"/>
  <c r="K46" i="3"/>
  <c r="C46" i="3"/>
  <c r="AI45" i="3"/>
  <c r="AA45" i="3"/>
  <c r="S45" i="3"/>
  <c r="K45" i="3"/>
  <c r="C45" i="3"/>
  <c r="AI44" i="3"/>
  <c r="AA44" i="3"/>
  <c r="S44" i="3"/>
  <c r="K44" i="3"/>
  <c r="C44" i="3"/>
  <c r="AI43" i="3"/>
  <c r="AA43" i="3"/>
  <c r="S43" i="3"/>
  <c r="K43" i="3"/>
  <c r="C43" i="3"/>
  <c r="AI42" i="3"/>
  <c r="AA42" i="3"/>
  <c r="S42" i="3"/>
  <c r="K42" i="3"/>
  <c r="C42" i="3"/>
  <c r="AI41" i="3"/>
  <c r="AA41" i="3"/>
  <c r="S41" i="3"/>
  <c r="K41" i="3"/>
  <c r="C41" i="3"/>
  <c r="AI40" i="3"/>
  <c r="AA40" i="3"/>
  <c r="S40" i="3"/>
  <c r="K40" i="3"/>
  <c r="C40" i="3"/>
  <c r="AI39" i="3"/>
  <c r="AA39" i="3"/>
  <c r="S39" i="3"/>
  <c r="K39" i="3"/>
  <c r="C39" i="3"/>
  <c r="AI38" i="3"/>
  <c r="AA38" i="3"/>
  <c r="S38" i="3"/>
  <c r="K38" i="3"/>
  <c r="C38" i="3"/>
  <c r="AI37" i="3"/>
  <c r="AA37" i="3"/>
  <c r="S37" i="3"/>
  <c r="K37" i="3"/>
  <c r="C37" i="3"/>
  <c r="AI36" i="3"/>
  <c r="AA36" i="3"/>
  <c r="S36" i="3"/>
  <c r="K36" i="3"/>
  <c r="C36" i="3"/>
  <c r="AI35" i="3"/>
  <c r="AA35" i="3"/>
  <c r="S35" i="3"/>
  <c r="K35" i="3"/>
  <c r="C35" i="3"/>
  <c r="AI34" i="3"/>
  <c r="AA34" i="3"/>
  <c r="S34" i="3"/>
  <c r="K34" i="3"/>
  <c r="C34" i="3"/>
  <c r="AI33" i="3"/>
  <c r="AA33" i="3"/>
  <c r="S33" i="3"/>
  <c r="K33" i="3"/>
  <c r="C33" i="3"/>
  <c r="AI32" i="3"/>
  <c r="AA32" i="3"/>
  <c r="S32" i="3"/>
  <c r="K32" i="3"/>
  <c r="C32" i="3"/>
  <c r="AI29" i="3"/>
  <c r="AA29" i="3"/>
  <c r="S29" i="3"/>
  <c r="K29" i="3"/>
  <c r="W36" i="4"/>
  <c r="AI25" i="4"/>
  <c r="S17" i="4"/>
  <c r="C11" i="4"/>
  <c r="AP8" i="4"/>
  <c r="R7" i="4"/>
  <c r="AH69" i="3"/>
  <c r="J68" i="3"/>
  <c r="Z66" i="3"/>
  <c r="AP64" i="3"/>
  <c r="R63" i="3"/>
  <c r="AH61" i="3"/>
  <c r="J60" i="3"/>
  <c r="R59" i="3"/>
  <c r="AC55" i="3"/>
  <c r="I55" i="3"/>
  <c r="Z54" i="3"/>
  <c r="E54" i="3"/>
  <c r="Y53" i="3"/>
  <c r="AP52" i="3"/>
  <c r="V52" i="3"/>
  <c r="J52" i="3"/>
  <c r="AP51" i="3"/>
  <c r="AH51" i="3"/>
  <c r="Z51" i="3"/>
  <c r="R51" i="3"/>
  <c r="J51" i="3"/>
  <c r="AP50" i="3"/>
  <c r="AH50" i="3"/>
  <c r="Z50" i="3"/>
  <c r="R50" i="3"/>
  <c r="J50" i="3"/>
  <c r="AP49" i="3"/>
  <c r="AH49" i="3"/>
  <c r="Z49" i="3"/>
  <c r="R49" i="3"/>
  <c r="J49" i="3"/>
  <c r="AP48" i="3"/>
  <c r="AH48" i="3"/>
  <c r="Z48" i="3"/>
  <c r="R48" i="3"/>
  <c r="J48" i="3"/>
  <c r="AP47" i="3"/>
  <c r="AH47" i="3"/>
  <c r="Z47" i="3"/>
  <c r="R47" i="3"/>
  <c r="J47" i="3"/>
  <c r="AP46" i="3"/>
  <c r="AH46" i="3"/>
  <c r="Z46" i="3"/>
  <c r="R46" i="3"/>
  <c r="J46" i="3"/>
  <c r="AP45" i="3"/>
  <c r="AH45" i="3"/>
  <c r="Z45" i="3"/>
  <c r="R45" i="3"/>
  <c r="J45" i="3"/>
  <c r="AP44" i="3"/>
  <c r="AH44" i="3"/>
  <c r="Z44" i="3"/>
  <c r="R44" i="3"/>
  <c r="J44" i="3"/>
  <c r="AP43" i="3"/>
  <c r="AH43" i="3"/>
  <c r="Z43" i="3"/>
  <c r="R43" i="3"/>
  <c r="J43" i="3"/>
  <c r="AP42" i="3"/>
  <c r="AH42" i="3"/>
  <c r="Z42" i="3"/>
  <c r="R42" i="3"/>
  <c r="J42" i="3"/>
  <c r="AP41" i="3"/>
  <c r="AH41" i="3"/>
  <c r="Z41" i="3"/>
  <c r="R41" i="3"/>
  <c r="J41" i="3"/>
  <c r="AP40" i="3"/>
  <c r="AH40" i="3"/>
  <c r="Z40" i="3"/>
  <c r="R40" i="3"/>
  <c r="J40" i="3"/>
  <c r="AP39" i="3"/>
  <c r="AH39" i="3"/>
  <c r="Z39" i="3"/>
  <c r="R39" i="3"/>
  <c r="J39" i="3"/>
  <c r="AP38" i="3"/>
  <c r="AH38" i="3"/>
  <c r="Z38" i="3"/>
  <c r="R38" i="3"/>
  <c r="J38" i="3"/>
  <c r="AP37" i="3"/>
  <c r="AH37" i="3"/>
  <c r="Z37" i="3"/>
  <c r="R37" i="3"/>
  <c r="J37" i="3"/>
  <c r="AP36" i="3"/>
  <c r="AH36" i="3"/>
  <c r="Z36" i="3"/>
  <c r="R36" i="3"/>
  <c r="J36" i="3"/>
  <c r="AP35" i="3"/>
  <c r="AH35" i="3"/>
  <c r="Z35" i="3"/>
  <c r="R35" i="3"/>
  <c r="J35" i="3"/>
  <c r="AP34" i="3"/>
  <c r="AH34" i="3"/>
  <c r="Z34" i="3"/>
  <c r="R34" i="3"/>
  <c r="J34" i="3"/>
  <c r="X33" i="4"/>
  <c r="C25" i="4"/>
  <c r="AA16" i="4"/>
  <c r="S10" i="4"/>
  <c r="AH8" i="4"/>
  <c r="J7" i="4"/>
  <c r="Z69" i="3"/>
  <c r="AP67" i="3"/>
  <c r="R66" i="3"/>
  <c r="AH64" i="3"/>
  <c r="J63" i="3"/>
  <c r="Z61" i="3"/>
  <c r="E60" i="3"/>
  <c r="M59" i="3"/>
  <c r="Z55" i="3"/>
  <c r="E55" i="3"/>
  <c r="Y54" i="3"/>
  <c r="AP53" i="3"/>
  <c r="U53" i="3"/>
  <c r="AO52" i="3"/>
  <c r="U52" i="3"/>
  <c r="I52" i="3"/>
  <c r="AO51" i="3"/>
  <c r="AG51" i="3"/>
  <c r="Y51" i="3"/>
  <c r="Q51" i="3"/>
  <c r="I51" i="3"/>
  <c r="AO50" i="3"/>
  <c r="AG50" i="3"/>
  <c r="Y50" i="3"/>
  <c r="Q50" i="3"/>
  <c r="I50" i="3"/>
  <c r="AO49" i="3"/>
  <c r="AG49" i="3"/>
  <c r="Y49" i="3"/>
  <c r="Q49" i="3"/>
  <c r="I49" i="3"/>
  <c r="AO48" i="3"/>
  <c r="AG48" i="3"/>
  <c r="Y48" i="3"/>
  <c r="Q48" i="3"/>
  <c r="I48" i="3"/>
  <c r="AO47" i="3"/>
  <c r="AG47" i="3"/>
  <c r="Y47" i="3"/>
  <c r="Q47" i="3"/>
  <c r="I47" i="3"/>
  <c r="AO46" i="3"/>
  <c r="AG46" i="3"/>
  <c r="Y46" i="3"/>
  <c r="Q46" i="3"/>
  <c r="I46" i="3"/>
  <c r="AO45" i="3"/>
  <c r="AG45" i="3"/>
  <c r="Y45" i="3"/>
  <c r="Q45" i="3"/>
  <c r="I45" i="3"/>
  <c r="AO44" i="3"/>
  <c r="AG44" i="3"/>
  <c r="Y44" i="3"/>
  <c r="Q44" i="3"/>
  <c r="I44" i="3"/>
  <c r="AO43" i="3"/>
  <c r="AG43" i="3"/>
  <c r="Y43" i="3"/>
  <c r="Q43" i="3"/>
  <c r="I43" i="3"/>
  <c r="AO42" i="3"/>
  <c r="AG42" i="3"/>
  <c r="Y42" i="3"/>
  <c r="Q42" i="3"/>
  <c r="I42" i="3"/>
  <c r="AO41" i="3"/>
  <c r="AG41" i="3"/>
  <c r="Y41" i="3"/>
  <c r="Q41" i="3"/>
  <c r="I41" i="3"/>
  <c r="AO40" i="3"/>
  <c r="AG40" i="3"/>
  <c r="Y40" i="3"/>
  <c r="Q40" i="3"/>
  <c r="I40" i="3"/>
  <c r="AO39" i="3"/>
  <c r="AG39" i="3"/>
  <c r="Y39" i="3"/>
  <c r="Q39" i="3"/>
  <c r="I39" i="3"/>
  <c r="AO38" i="3"/>
  <c r="AG38" i="3"/>
  <c r="Y38" i="3"/>
  <c r="Q38" i="3"/>
  <c r="I38" i="3"/>
  <c r="AO37" i="3"/>
  <c r="AG37" i="3"/>
  <c r="Y37" i="3"/>
  <c r="Q37" i="3"/>
  <c r="I37" i="3"/>
  <c r="AO36" i="3"/>
  <c r="AG36" i="3"/>
  <c r="Y36" i="3"/>
  <c r="Q36" i="3"/>
  <c r="I36" i="3"/>
  <c r="AO35" i="3"/>
  <c r="AG35" i="3"/>
  <c r="Y35" i="3"/>
  <c r="Q35" i="3"/>
  <c r="I35" i="3"/>
  <c r="AO34" i="3"/>
  <c r="AG34" i="3"/>
  <c r="Y34" i="3"/>
  <c r="Q34" i="3"/>
  <c r="I34" i="3"/>
  <c r="AO33" i="3"/>
  <c r="AG33" i="3"/>
  <c r="Y33" i="3"/>
  <c r="Q33" i="3"/>
  <c r="I33" i="3"/>
  <c r="AO32" i="3"/>
  <c r="AG32" i="3"/>
  <c r="Y32" i="3"/>
  <c r="Q32" i="3"/>
  <c r="I32" i="3"/>
  <c r="AO29" i="3"/>
  <c r="AG29" i="3"/>
  <c r="Y29" i="3"/>
  <c r="Q29" i="3"/>
  <c r="I29" i="3"/>
  <c r="AP33" i="3"/>
  <c r="E33" i="3"/>
  <c r="M32" i="3"/>
  <c r="U29" i="3"/>
  <c r="D29" i="3"/>
  <c r="AJ28" i="3"/>
  <c r="AB28" i="3"/>
  <c r="T28" i="3"/>
  <c r="L28" i="3"/>
  <c r="D28" i="3"/>
  <c r="AJ27" i="3"/>
  <c r="AB27" i="3"/>
  <c r="T27" i="3"/>
  <c r="L27" i="3"/>
  <c r="D27" i="3"/>
  <c r="AJ26" i="3"/>
  <c r="AB26" i="3"/>
  <c r="T26" i="3"/>
  <c r="L26" i="3"/>
  <c r="D26" i="3"/>
  <c r="AJ25" i="3"/>
  <c r="AB25" i="3"/>
  <c r="T25" i="3"/>
  <c r="L25" i="3"/>
  <c r="D25" i="3"/>
  <c r="AJ24" i="3"/>
  <c r="AB24" i="3"/>
  <c r="T24" i="3"/>
  <c r="L24" i="3"/>
  <c r="D24" i="3"/>
  <c r="AJ23" i="3"/>
  <c r="AB23" i="3"/>
  <c r="T23" i="3"/>
  <c r="L23" i="3"/>
  <c r="D23" i="3"/>
  <c r="AJ22" i="3"/>
  <c r="AB22" i="3"/>
  <c r="T22" i="3"/>
  <c r="L22" i="3"/>
  <c r="D22" i="3"/>
  <c r="AJ21" i="3"/>
  <c r="AB21" i="3"/>
  <c r="T21" i="3"/>
  <c r="L21" i="3"/>
  <c r="D21" i="3"/>
  <c r="AJ20" i="3"/>
  <c r="AB20" i="3"/>
  <c r="T20" i="3"/>
  <c r="L20" i="3"/>
  <c r="D20" i="3"/>
  <c r="AJ19" i="3"/>
  <c r="AB19" i="3"/>
  <c r="T19" i="3"/>
  <c r="L19" i="3"/>
  <c r="D19" i="3"/>
  <c r="AJ18" i="3"/>
  <c r="AB18" i="3"/>
  <c r="T18" i="3"/>
  <c r="L18" i="3"/>
  <c r="D18" i="3"/>
  <c r="AJ17" i="3"/>
  <c r="AB17" i="3"/>
  <c r="T17" i="3"/>
  <c r="L17" i="3"/>
  <c r="D17" i="3"/>
  <c r="AJ16" i="3"/>
  <c r="AB16" i="3"/>
  <c r="T16" i="3"/>
  <c r="L16" i="3"/>
  <c r="D16" i="3"/>
  <c r="AJ15" i="3"/>
  <c r="AB15" i="3"/>
  <c r="T15" i="3"/>
  <c r="L15" i="3"/>
  <c r="D15" i="3"/>
  <c r="AJ14" i="3"/>
  <c r="AB14" i="3"/>
  <c r="T14" i="3"/>
  <c r="L14" i="3"/>
  <c r="D14" i="3"/>
  <c r="AJ13" i="3"/>
  <c r="AB13" i="3"/>
  <c r="T13" i="3"/>
  <c r="L13" i="3"/>
  <c r="D13" i="3"/>
  <c r="AJ12" i="3"/>
  <c r="AB12" i="3"/>
  <c r="T12" i="3"/>
  <c r="L12" i="3"/>
  <c r="D12" i="3"/>
  <c r="AJ11" i="3"/>
  <c r="AB11" i="3"/>
  <c r="T11" i="3"/>
  <c r="L11" i="3"/>
  <c r="D11" i="3"/>
  <c r="AJ10" i="3"/>
  <c r="AB10" i="3"/>
  <c r="T10" i="3"/>
  <c r="L10" i="3"/>
  <c r="D10" i="3"/>
  <c r="AJ9" i="3"/>
  <c r="AB9" i="3"/>
  <c r="T9" i="3"/>
  <c r="L9" i="3"/>
  <c r="D9" i="3"/>
  <c r="AJ8" i="3"/>
  <c r="AB8" i="3"/>
  <c r="T8" i="3"/>
  <c r="L8" i="3"/>
  <c r="D8" i="3"/>
  <c r="AJ7" i="3"/>
  <c r="AB7" i="3"/>
  <c r="T7" i="3"/>
  <c r="L7" i="3"/>
  <c r="D7" i="3"/>
  <c r="AJ58" i="2"/>
  <c r="AB58" i="2"/>
  <c r="T58" i="2"/>
  <c r="L58" i="2"/>
  <c r="D58" i="2"/>
  <c r="AJ57" i="2"/>
  <c r="AB57" i="2"/>
  <c r="T57" i="2"/>
  <c r="L57" i="2"/>
  <c r="D57" i="2"/>
  <c r="AJ56" i="2"/>
  <c r="AB56" i="2"/>
  <c r="T56" i="2"/>
  <c r="AH33" i="3"/>
  <c r="AP32" i="3"/>
  <c r="J32" i="3"/>
  <c r="R29" i="3"/>
  <c r="C29" i="3"/>
  <c r="AI28" i="3"/>
  <c r="AA28" i="3"/>
  <c r="S28" i="3"/>
  <c r="K28" i="3"/>
  <c r="C28" i="3"/>
  <c r="AI27" i="3"/>
  <c r="AA27" i="3"/>
  <c r="S27" i="3"/>
  <c r="K27" i="3"/>
  <c r="C27" i="3"/>
  <c r="AI26" i="3"/>
  <c r="AA26" i="3"/>
  <c r="S26" i="3"/>
  <c r="K26" i="3"/>
  <c r="C26" i="3"/>
  <c r="AI25" i="3"/>
  <c r="AA25" i="3"/>
  <c r="S25" i="3"/>
  <c r="K25" i="3"/>
  <c r="C25" i="3"/>
  <c r="AI24" i="3"/>
  <c r="AA24" i="3"/>
  <c r="S24" i="3"/>
  <c r="K24" i="3"/>
  <c r="C24" i="3"/>
  <c r="AI23" i="3"/>
  <c r="AA23" i="3"/>
  <c r="S23" i="3"/>
  <c r="K23" i="3"/>
  <c r="C23" i="3"/>
  <c r="AI22" i="3"/>
  <c r="AA22" i="3"/>
  <c r="S22" i="3"/>
  <c r="K22" i="3"/>
  <c r="C22" i="3"/>
  <c r="AI21" i="3"/>
  <c r="AA21" i="3"/>
  <c r="S21" i="3"/>
  <c r="K21" i="3"/>
  <c r="C21" i="3"/>
  <c r="AI20" i="3"/>
  <c r="AA20" i="3"/>
  <c r="S20" i="3"/>
  <c r="K20" i="3"/>
  <c r="C20" i="3"/>
  <c r="AI19" i="3"/>
  <c r="AA19" i="3"/>
  <c r="S19" i="3"/>
  <c r="K19" i="3"/>
  <c r="C19" i="3"/>
  <c r="AI18" i="3"/>
  <c r="AA18" i="3"/>
  <c r="S18" i="3"/>
  <c r="K18" i="3"/>
  <c r="C18" i="3"/>
  <c r="AI17" i="3"/>
  <c r="AA17" i="3"/>
  <c r="S17" i="3"/>
  <c r="K17" i="3"/>
  <c r="C17" i="3"/>
  <c r="AI16" i="3"/>
  <c r="AA16" i="3"/>
  <c r="S16" i="3"/>
  <c r="K16" i="3"/>
  <c r="C16" i="3"/>
  <c r="AI15" i="3"/>
  <c r="AA15" i="3"/>
  <c r="S15" i="3"/>
  <c r="K15" i="3"/>
  <c r="C15" i="3"/>
  <c r="AI14" i="3"/>
  <c r="AA14" i="3"/>
  <c r="S14" i="3"/>
  <c r="K14" i="3"/>
  <c r="C14" i="3"/>
  <c r="AI13" i="3"/>
  <c r="AA13" i="3"/>
  <c r="S13" i="3"/>
  <c r="K13" i="3"/>
  <c r="C13" i="3"/>
  <c r="AI12" i="3"/>
  <c r="AA12" i="3"/>
  <c r="S12" i="3"/>
  <c r="K12" i="3"/>
  <c r="C12" i="3"/>
  <c r="AI11" i="3"/>
  <c r="AA11" i="3"/>
  <c r="S11" i="3"/>
  <c r="K11" i="3"/>
  <c r="C11" i="3"/>
  <c r="AI10" i="3"/>
  <c r="AA10" i="3"/>
  <c r="S10" i="3"/>
  <c r="K10" i="3"/>
  <c r="C10" i="3"/>
  <c r="AI9" i="3"/>
  <c r="AA9" i="3"/>
  <c r="S9" i="3"/>
  <c r="K9" i="3"/>
  <c r="C9" i="3"/>
  <c r="AI8" i="3"/>
  <c r="AA8" i="3"/>
  <c r="S8" i="3"/>
  <c r="K8" i="3"/>
  <c r="AC33" i="3"/>
  <c r="AK32" i="3"/>
  <c r="E32" i="3"/>
  <c r="M29" i="3"/>
  <c r="AP28" i="3"/>
  <c r="AH28" i="3"/>
  <c r="Z28" i="3"/>
  <c r="R28" i="3"/>
  <c r="J28" i="3"/>
  <c r="AP27" i="3"/>
  <c r="AH27" i="3"/>
  <c r="Z27" i="3"/>
  <c r="R27" i="3"/>
  <c r="J27" i="3"/>
  <c r="AP26" i="3"/>
  <c r="AH26" i="3"/>
  <c r="Z26" i="3"/>
  <c r="R26" i="3"/>
  <c r="J26" i="3"/>
  <c r="AP25" i="3"/>
  <c r="AH25" i="3"/>
  <c r="Z25" i="3"/>
  <c r="R25" i="3"/>
  <c r="J25" i="3"/>
  <c r="AP24" i="3"/>
  <c r="AH24" i="3"/>
  <c r="Z24" i="3"/>
  <c r="R24" i="3"/>
  <c r="J24" i="3"/>
  <c r="AP23" i="3"/>
  <c r="AH23" i="3"/>
  <c r="Z23" i="3"/>
  <c r="R23" i="3"/>
  <c r="J23" i="3"/>
  <c r="AP22" i="3"/>
  <c r="AH22" i="3"/>
  <c r="Z22" i="3"/>
  <c r="R22" i="3"/>
  <c r="J22" i="3"/>
  <c r="AP21" i="3"/>
  <c r="AH21" i="3"/>
  <c r="Z21" i="3"/>
  <c r="R21" i="3"/>
  <c r="J21" i="3"/>
  <c r="AP20" i="3"/>
  <c r="AH20" i="3"/>
  <c r="Z20" i="3"/>
  <c r="R20" i="3"/>
  <c r="J20" i="3"/>
  <c r="AP19" i="3"/>
  <c r="AH19" i="3"/>
  <c r="Z19" i="3"/>
  <c r="R19" i="3"/>
  <c r="J19" i="3"/>
  <c r="AP18" i="3"/>
  <c r="AH18" i="3"/>
  <c r="Z18" i="3"/>
  <c r="R18" i="3"/>
  <c r="J18" i="3"/>
  <c r="AP17" i="3"/>
  <c r="AH17" i="3"/>
  <c r="Z17" i="3"/>
  <c r="R17" i="3"/>
  <c r="J17" i="3"/>
  <c r="AP16" i="3"/>
  <c r="AH16" i="3"/>
  <c r="Z16" i="3"/>
  <c r="R16" i="3"/>
  <c r="J16" i="3"/>
  <c r="AP15" i="3"/>
  <c r="AH15" i="3"/>
  <c r="Z15" i="3"/>
  <c r="R15" i="3"/>
  <c r="J15" i="3"/>
  <c r="AP14" i="3"/>
  <c r="AH14" i="3"/>
  <c r="Z14" i="3"/>
  <c r="R14" i="3"/>
  <c r="J14" i="3"/>
  <c r="AP13" i="3"/>
  <c r="AH13" i="3"/>
  <c r="Z13" i="3"/>
  <c r="R13" i="3"/>
  <c r="J13" i="3"/>
  <c r="AP12" i="3"/>
  <c r="AH12" i="3"/>
  <c r="Z12" i="3"/>
  <c r="R12" i="3"/>
  <c r="J12" i="3"/>
  <c r="AP11" i="3"/>
  <c r="AH11" i="3"/>
  <c r="Z11" i="3"/>
  <c r="R11" i="3"/>
  <c r="J11" i="3"/>
  <c r="AP10" i="3"/>
  <c r="AH10" i="3"/>
  <c r="Z10" i="3"/>
  <c r="R10" i="3"/>
  <c r="J10" i="3"/>
  <c r="AP9" i="3"/>
  <c r="AH9" i="3"/>
  <c r="Z9" i="3"/>
  <c r="R9" i="3"/>
  <c r="J9" i="3"/>
  <c r="AP8" i="3"/>
  <c r="AH8" i="3"/>
  <c r="Z8" i="3"/>
  <c r="R8" i="3"/>
  <c r="J8" i="3"/>
  <c r="AP7" i="3"/>
  <c r="AH7" i="3"/>
  <c r="Z7" i="3"/>
  <c r="R7" i="3"/>
  <c r="J7" i="3"/>
  <c r="AP58" i="2"/>
  <c r="AH58" i="2"/>
  <c r="Z58" i="2"/>
  <c r="R58" i="2"/>
  <c r="J58" i="2"/>
  <c r="AP57" i="2"/>
  <c r="AH57" i="2"/>
  <c r="Z57" i="2"/>
  <c r="R57" i="2"/>
  <c r="J57" i="2"/>
  <c r="AP56" i="2"/>
  <c r="AH56" i="2"/>
  <c r="Z56" i="2"/>
  <c r="Z33" i="3"/>
  <c r="AH32" i="3"/>
  <c r="AP29" i="3"/>
  <c r="L29" i="3"/>
  <c r="AO28" i="3"/>
  <c r="AG28" i="3"/>
  <c r="Y28" i="3"/>
  <c r="Q28" i="3"/>
  <c r="I28" i="3"/>
  <c r="AO27" i="3"/>
  <c r="AG27" i="3"/>
  <c r="Y27" i="3"/>
  <c r="Q27" i="3"/>
  <c r="I27" i="3"/>
  <c r="AO26" i="3"/>
  <c r="AG26" i="3"/>
  <c r="Y26" i="3"/>
  <c r="Q26" i="3"/>
  <c r="I26" i="3"/>
  <c r="AO25" i="3"/>
  <c r="AG25" i="3"/>
  <c r="Y25" i="3"/>
  <c r="Q25" i="3"/>
  <c r="I25" i="3"/>
  <c r="AO24" i="3"/>
  <c r="AG24" i="3"/>
  <c r="Y24" i="3"/>
  <c r="Q24" i="3"/>
  <c r="I24" i="3"/>
  <c r="AO23" i="3"/>
  <c r="AG23" i="3"/>
  <c r="Y23" i="3"/>
  <c r="Q23" i="3"/>
  <c r="I23" i="3"/>
  <c r="AO22" i="3"/>
  <c r="AG22" i="3"/>
  <c r="Y22" i="3"/>
  <c r="Q22" i="3"/>
  <c r="I22" i="3"/>
  <c r="AO21" i="3"/>
  <c r="AG21" i="3"/>
  <c r="Y21" i="3"/>
  <c r="Q21" i="3"/>
  <c r="I21" i="3"/>
  <c r="AO20" i="3"/>
  <c r="AG20" i="3"/>
  <c r="Y20" i="3"/>
  <c r="Q20" i="3"/>
  <c r="I20" i="3"/>
  <c r="AO19" i="3"/>
  <c r="AG19" i="3"/>
  <c r="Y19" i="3"/>
  <c r="Q19" i="3"/>
  <c r="I19" i="3"/>
  <c r="AO18" i="3"/>
  <c r="AG18" i="3"/>
  <c r="Y18" i="3"/>
  <c r="Q18" i="3"/>
  <c r="I18" i="3"/>
  <c r="AO17" i="3"/>
  <c r="AG17" i="3"/>
  <c r="Y17" i="3"/>
  <c r="Q17" i="3"/>
  <c r="I17" i="3"/>
  <c r="AO16" i="3"/>
  <c r="AG16" i="3"/>
  <c r="Y16" i="3"/>
  <c r="Q16" i="3"/>
  <c r="I16" i="3"/>
  <c r="AO15" i="3"/>
  <c r="AG15" i="3"/>
  <c r="Y15" i="3"/>
  <c r="Q15" i="3"/>
  <c r="I15" i="3"/>
  <c r="AO14" i="3"/>
  <c r="AG14" i="3"/>
  <c r="Y14" i="3"/>
  <c r="Q14" i="3"/>
  <c r="I14" i="3"/>
  <c r="AO13" i="3"/>
  <c r="AG13" i="3"/>
  <c r="Y13" i="3"/>
  <c r="Q13" i="3"/>
  <c r="I13" i="3"/>
  <c r="AO12" i="3"/>
  <c r="AG12" i="3"/>
  <c r="Y12" i="3"/>
  <c r="Q12" i="3"/>
  <c r="I12" i="3"/>
  <c r="AO11" i="3"/>
  <c r="AG11" i="3"/>
  <c r="Y11" i="3"/>
  <c r="Q11" i="3"/>
  <c r="I11" i="3"/>
  <c r="AO10" i="3"/>
  <c r="AG10" i="3"/>
  <c r="Y10" i="3"/>
  <c r="Q10" i="3"/>
  <c r="I10" i="3"/>
  <c r="AO9" i="3"/>
  <c r="AG9" i="3"/>
  <c r="Y9" i="3"/>
  <c r="Q9" i="3"/>
  <c r="I9" i="3"/>
  <c r="AO8" i="3"/>
  <c r="AG8" i="3"/>
  <c r="Y8" i="3"/>
  <c r="Q8" i="3"/>
  <c r="I8" i="3"/>
  <c r="AO7" i="3"/>
  <c r="AG7" i="3"/>
  <c r="Y7" i="3"/>
  <c r="Q7" i="3"/>
  <c r="I7" i="3"/>
  <c r="AO58" i="2"/>
  <c r="AG58" i="2"/>
  <c r="Y58" i="2"/>
  <c r="Q58" i="2"/>
  <c r="I58" i="2"/>
  <c r="AO57" i="2"/>
  <c r="AG57" i="2"/>
  <c r="Y57" i="2"/>
  <c r="Q57" i="2"/>
  <c r="I57" i="2"/>
  <c r="AO56" i="2"/>
  <c r="AG56" i="2"/>
  <c r="Y56" i="2"/>
  <c r="U33" i="3"/>
  <c r="AC32" i="3"/>
  <c r="AK29" i="3"/>
  <c r="J29" i="3"/>
  <c r="AN28" i="3"/>
  <c r="AF28" i="3"/>
  <c r="X28" i="3"/>
  <c r="P28" i="3"/>
  <c r="H28" i="3"/>
  <c r="AN27" i="3"/>
  <c r="AF27" i="3"/>
  <c r="X27" i="3"/>
  <c r="P27" i="3"/>
  <c r="H27" i="3"/>
  <c r="AN26" i="3"/>
  <c r="AF26" i="3"/>
  <c r="X26" i="3"/>
  <c r="P26" i="3"/>
  <c r="H26" i="3"/>
  <c r="AN25" i="3"/>
  <c r="AF25" i="3"/>
  <c r="X25" i="3"/>
  <c r="P25" i="3"/>
  <c r="H25" i="3"/>
  <c r="AN24" i="3"/>
  <c r="AF24" i="3"/>
  <c r="X24" i="3"/>
  <c r="P24" i="3"/>
  <c r="H24" i="3"/>
  <c r="AN23" i="3"/>
  <c r="AF23" i="3"/>
  <c r="X23" i="3"/>
  <c r="P23" i="3"/>
  <c r="H23" i="3"/>
  <c r="AN22" i="3"/>
  <c r="AF22" i="3"/>
  <c r="X22" i="3"/>
  <c r="P22" i="3"/>
  <c r="H22" i="3"/>
  <c r="AN21" i="3"/>
  <c r="AF21" i="3"/>
  <c r="X21" i="3"/>
  <c r="P21" i="3"/>
  <c r="H21" i="3"/>
  <c r="AN20" i="3"/>
  <c r="AF20" i="3"/>
  <c r="X20" i="3"/>
  <c r="P20" i="3"/>
  <c r="H20" i="3"/>
  <c r="AN19" i="3"/>
  <c r="AF19" i="3"/>
  <c r="X19" i="3"/>
  <c r="P19" i="3"/>
  <c r="H19" i="3"/>
  <c r="AN18" i="3"/>
  <c r="AF18" i="3"/>
  <c r="X18" i="3"/>
  <c r="P18" i="3"/>
  <c r="H18" i="3"/>
  <c r="AN17" i="3"/>
  <c r="AF17" i="3"/>
  <c r="X17" i="3"/>
  <c r="P17" i="3"/>
  <c r="H17" i="3"/>
  <c r="AN16" i="3"/>
  <c r="AF16" i="3"/>
  <c r="X16" i="3"/>
  <c r="P16" i="3"/>
  <c r="H16" i="3"/>
  <c r="AN15" i="3"/>
  <c r="AF15" i="3"/>
  <c r="X15" i="3"/>
  <c r="P15" i="3"/>
  <c r="H15" i="3"/>
  <c r="AN14" i="3"/>
  <c r="AF14" i="3"/>
  <c r="X14" i="3"/>
  <c r="P14" i="3"/>
  <c r="H14" i="3"/>
  <c r="AN13" i="3"/>
  <c r="AF13" i="3"/>
  <c r="X13" i="3"/>
  <c r="P13" i="3"/>
  <c r="H13" i="3"/>
  <c r="AN12" i="3"/>
  <c r="AF12" i="3"/>
  <c r="X12" i="3"/>
  <c r="P12" i="3"/>
  <c r="H12" i="3"/>
  <c r="AN11" i="3"/>
  <c r="AF11" i="3"/>
  <c r="X11" i="3"/>
  <c r="P11" i="3"/>
  <c r="H11" i="3"/>
  <c r="AN10" i="3"/>
  <c r="AF10" i="3"/>
  <c r="X10" i="3"/>
  <c r="P10" i="3"/>
  <c r="H10" i="3"/>
  <c r="AN9" i="3"/>
  <c r="AF9" i="3"/>
  <c r="X9" i="3"/>
  <c r="P9" i="3"/>
  <c r="H9" i="3"/>
  <c r="AN8" i="3"/>
  <c r="AF8" i="3"/>
  <c r="X8" i="3"/>
  <c r="P8" i="3"/>
  <c r="H8" i="3"/>
  <c r="AN7" i="3"/>
  <c r="AF7" i="3"/>
  <c r="X7" i="3"/>
  <c r="P7" i="3"/>
  <c r="H7" i="3"/>
  <c r="AN58" i="2"/>
  <c r="AF58" i="2"/>
  <c r="X58" i="2"/>
  <c r="P58" i="2"/>
  <c r="H58" i="2"/>
  <c r="AN57" i="2"/>
  <c r="AF57" i="2"/>
  <c r="X57" i="2"/>
  <c r="P57" i="2"/>
  <c r="H57" i="2"/>
  <c r="AN56" i="2"/>
  <c r="AF56" i="2"/>
  <c r="X56" i="2"/>
  <c r="R33" i="3"/>
  <c r="Z32" i="3"/>
  <c r="AH29" i="3"/>
  <c r="G29" i="3"/>
  <c r="AM28" i="3"/>
  <c r="AE28" i="3"/>
  <c r="W28" i="3"/>
  <c r="O28" i="3"/>
  <c r="G28" i="3"/>
  <c r="AM27" i="3"/>
  <c r="AE27" i="3"/>
  <c r="W27" i="3"/>
  <c r="O27" i="3"/>
  <c r="G27" i="3"/>
  <c r="AM26" i="3"/>
  <c r="AE26" i="3"/>
  <c r="W26" i="3"/>
  <c r="O26" i="3"/>
  <c r="G26" i="3"/>
  <c r="AM25" i="3"/>
  <c r="AE25" i="3"/>
  <c r="W25" i="3"/>
  <c r="O25" i="3"/>
  <c r="G25" i="3"/>
  <c r="AM24" i="3"/>
  <c r="AE24" i="3"/>
  <c r="W24" i="3"/>
  <c r="O24" i="3"/>
  <c r="G24" i="3"/>
  <c r="AM23" i="3"/>
  <c r="AE23" i="3"/>
  <c r="W23" i="3"/>
  <c r="O23" i="3"/>
  <c r="G23" i="3"/>
  <c r="AM22" i="3"/>
  <c r="AE22" i="3"/>
  <c r="W22" i="3"/>
  <c r="O22" i="3"/>
  <c r="G22" i="3"/>
  <c r="AM21" i="3"/>
  <c r="AE21" i="3"/>
  <c r="W21" i="3"/>
  <c r="O21" i="3"/>
  <c r="G21" i="3"/>
  <c r="AM20" i="3"/>
  <c r="AE20" i="3"/>
  <c r="W20" i="3"/>
  <c r="O20" i="3"/>
  <c r="G20" i="3"/>
  <c r="AM19" i="3"/>
  <c r="AE19" i="3"/>
  <c r="W19" i="3"/>
  <c r="O19" i="3"/>
  <c r="G19" i="3"/>
  <c r="AM18" i="3"/>
  <c r="AE18" i="3"/>
  <c r="W18" i="3"/>
  <c r="O18" i="3"/>
  <c r="G18" i="3"/>
  <c r="AM17" i="3"/>
  <c r="AE17" i="3"/>
  <c r="W17" i="3"/>
  <c r="O17" i="3"/>
  <c r="G17" i="3"/>
  <c r="AM16" i="3"/>
  <c r="AE16" i="3"/>
  <c r="W16" i="3"/>
  <c r="O16" i="3"/>
  <c r="G16" i="3"/>
  <c r="AM15" i="3"/>
  <c r="AE15" i="3"/>
  <c r="W15" i="3"/>
  <c r="O15" i="3"/>
  <c r="G15" i="3"/>
  <c r="AM14" i="3"/>
  <c r="AE14" i="3"/>
  <c r="W14" i="3"/>
  <c r="O14" i="3"/>
  <c r="G14" i="3"/>
  <c r="AM13" i="3"/>
  <c r="AE13" i="3"/>
  <c r="W13" i="3"/>
  <c r="O13" i="3"/>
  <c r="G13" i="3"/>
  <c r="AM12" i="3"/>
  <c r="AE12" i="3"/>
  <c r="W12" i="3"/>
  <c r="O12" i="3"/>
  <c r="G12" i="3"/>
  <c r="AM11" i="3"/>
  <c r="AE11" i="3"/>
  <c r="W11" i="3"/>
  <c r="O11" i="3"/>
  <c r="G11" i="3"/>
  <c r="AM10" i="3"/>
  <c r="AE10" i="3"/>
  <c r="W10" i="3"/>
  <c r="O10" i="3"/>
  <c r="G10" i="3"/>
  <c r="AM9" i="3"/>
  <c r="AE9" i="3"/>
  <c r="W9" i="3"/>
  <c r="O9" i="3"/>
  <c r="G9" i="3"/>
  <c r="AM8" i="3"/>
  <c r="AE8" i="3"/>
  <c r="W8" i="3"/>
  <c r="O8" i="3"/>
  <c r="M33" i="3"/>
  <c r="U32" i="3"/>
  <c r="AC29" i="3"/>
  <c r="F29" i="3"/>
  <c r="AL28" i="3"/>
  <c r="AD28" i="3"/>
  <c r="V28" i="3"/>
  <c r="N28" i="3"/>
  <c r="F28" i="3"/>
  <c r="AL27" i="3"/>
  <c r="AD27" i="3"/>
  <c r="V27" i="3"/>
  <c r="N27" i="3"/>
  <c r="F27" i="3"/>
  <c r="AL26" i="3"/>
  <c r="AD26" i="3"/>
  <c r="V26" i="3"/>
  <c r="N26" i="3"/>
  <c r="F26" i="3"/>
  <c r="AL25" i="3"/>
  <c r="AD25" i="3"/>
  <c r="V25" i="3"/>
  <c r="N25" i="3"/>
  <c r="F25" i="3"/>
  <c r="AL24" i="3"/>
  <c r="AD24" i="3"/>
  <c r="V24" i="3"/>
  <c r="N24" i="3"/>
  <c r="F24" i="3"/>
  <c r="AL23" i="3"/>
  <c r="AD23" i="3"/>
  <c r="V23" i="3"/>
  <c r="N23" i="3"/>
  <c r="F23" i="3"/>
  <c r="AL22" i="3"/>
  <c r="AD22" i="3"/>
  <c r="V22" i="3"/>
  <c r="N22" i="3"/>
  <c r="F22" i="3"/>
  <c r="AL21" i="3"/>
  <c r="AD21" i="3"/>
  <c r="V21" i="3"/>
  <c r="N21" i="3"/>
  <c r="F21" i="3"/>
  <c r="AL20" i="3"/>
  <c r="AD20" i="3"/>
  <c r="V20" i="3"/>
  <c r="N20" i="3"/>
  <c r="F20" i="3"/>
  <c r="AL19" i="3"/>
  <c r="AD19" i="3"/>
  <c r="V19" i="3"/>
  <c r="N19" i="3"/>
  <c r="F19" i="3"/>
  <c r="AL18" i="3"/>
  <c r="AD18" i="3"/>
  <c r="V18" i="3"/>
  <c r="N18" i="3"/>
  <c r="F18" i="3"/>
  <c r="AL17" i="3"/>
  <c r="AD17" i="3"/>
  <c r="V17" i="3"/>
  <c r="N17" i="3"/>
  <c r="F17" i="3"/>
  <c r="AL16" i="3"/>
  <c r="AD16" i="3"/>
  <c r="V16" i="3"/>
  <c r="N16" i="3"/>
  <c r="F16" i="3"/>
  <c r="AL15" i="3"/>
  <c r="AD15" i="3"/>
  <c r="V15" i="3"/>
  <c r="N15" i="3"/>
  <c r="F15" i="3"/>
  <c r="AL14" i="3"/>
  <c r="AD14" i="3"/>
  <c r="V14" i="3"/>
  <c r="N14" i="3"/>
  <c r="F14" i="3"/>
  <c r="AL13" i="3"/>
  <c r="AD13" i="3"/>
  <c r="V13" i="3"/>
  <c r="N13" i="3"/>
  <c r="F13" i="3"/>
  <c r="AL12" i="3"/>
  <c r="AD12" i="3"/>
  <c r="V12" i="3"/>
  <c r="N12" i="3"/>
  <c r="F12" i="3"/>
  <c r="AL11" i="3"/>
  <c r="AD11" i="3"/>
  <c r="V11" i="3"/>
  <c r="N11" i="3"/>
  <c r="F11" i="3"/>
  <c r="AL10" i="3"/>
  <c r="AD10" i="3"/>
  <c r="V10" i="3"/>
  <c r="N10" i="3"/>
  <c r="F10" i="3"/>
  <c r="AL9" i="3"/>
  <c r="AD9" i="3"/>
  <c r="V9" i="3"/>
  <c r="N9" i="3"/>
  <c r="F9" i="3"/>
  <c r="AL8" i="3"/>
  <c r="AD8" i="3"/>
  <c r="V8" i="3"/>
  <c r="N8" i="3"/>
  <c r="F8" i="3"/>
  <c r="AL7" i="3"/>
  <c r="AD7" i="3"/>
  <c r="V7" i="3"/>
  <c r="N7" i="3"/>
  <c r="F7" i="3"/>
  <c r="AL58" i="2"/>
  <c r="AD58" i="2"/>
  <c r="V58" i="2"/>
  <c r="N58" i="2"/>
  <c r="F58" i="2"/>
  <c r="AL57" i="2"/>
  <c r="AD57" i="2"/>
  <c r="V57" i="2"/>
  <c r="N57" i="2"/>
  <c r="F57" i="2"/>
  <c r="AL56" i="2"/>
  <c r="AD56" i="2"/>
  <c r="V56" i="2"/>
  <c r="J33" i="3"/>
  <c r="R32" i="3"/>
  <c r="Z29" i="3"/>
  <c r="E29" i="3"/>
  <c r="AK28" i="3"/>
  <c r="AC28" i="3"/>
  <c r="U28" i="3"/>
  <c r="M28" i="3"/>
  <c r="E28" i="3"/>
  <c r="AK27" i="3"/>
  <c r="AC27" i="3"/>
  <c r="U27" i="3"/>
  <c r="M27" i="3"/>
  <c r="E27" i="3"/>
  <c r="AK26" i="3"/>
  <c r="AC26" i="3"/>
  <c r="U26" i="3"/>
  <c r="M26" i="3"/>
  <c r="E26" i="3"/>
  <c r="AK25" i="3"/>
  <c r="AC25" i="3"/>
  <c r="U25" i="3"/>
  <c r="M25" i="3"/>
  <c r="E25" i="3"/>
  <c r="AK24" i="3"/>
  <c r="AC24" i="3"/>
  <c r="U24" i="3"/>
  <c r="M24" i="3"/>
  <c r="E24" i="3"/>
  <c r="AK23" i="3"/>
  <c r="AC23" i="3"/>
  <c r="U23" i="3"/>
  <c r="M23" i="3"/>
  <c r="E23" i="3"/>
  <c r="AK22" i="3"/>
  <c r="AC22" i="3"/>
  <c r="U22" i="3"/>
  <c r="M22" i="3"/>
  <c r="E22" i="3"/>
  <c r="AK21" i="3"/>
  <c r="AC21" i="3"/>
  <c r="U21" i="3"/>
  <c r="M21" i="3"/>
  <c r="E21" i="3"/>
  <c r="AK20" i="3"/>
  <c r="AC20" i="3"/>
  <c r="U20" i="3"/>
  <c r="M20" i="3"/>
  <c r="E20" i="3"/>
  <c r="AK19" i="3"/>
  <c r="AC19" i="3"/>
  <c r="U19" i="3"/>
  <c r="M19" i="3"/>
  <c r="E19" i="3"/>
  <c r="AK18" i="3"/>
  <c r="AC18" i="3"/>
  <c r="U18" i="3"/>
  <c r="M18" i="3"/>
  <c r="E18" i="3"/>
  <c r="AK17" i="3"/>
  <c r="AC17" i="3"/>
  <c r="U17" i="3"/>
  <c r="M17" i="3"/>
  <c r="E17" i="3"/>
  <c r="AK16" i="3"/>
  <c r="AC16" i="3"/>
  <c r="U16" i="3"/>
  <c r="M16" i="3"/>
  <c r="E16" i="3"/>
  <c r="AK15" i="3"/>
  <c r="AC15" i="3"/>
  <c r="U15" i="3"/>
  <c r="M15" i="3"/>
  <c r="E15" i="3"/>
  <c r="AK14" i="3"/>
  <c r="AC14" i="3"/>
  <c r="U14" i="3"/>
  <c r="M14" i="3"/>
  <c r="E14" i="3"/>
  <c r="AK13" i="3"/>
  <c r="AC13" i="3"/>
  <c r="U13" i="3"/>
  <c r="M13" i="3"/>
  <c r="E13" i="3"/>
  <c r="AK12" i="3"/>
  <c r="AC12" i="3"/>
  <c r="U12" i="3"/>
  <c r="M12" i="3"/>
  <c r="E12" i="3"/>
  <c r="AK11" i="3"/>
  <c r="AC11" i="3"/>
  <c r="U11" i="3"/>
  <c r="M11" i="3"/>
  <c r="E11" i="3"/>
  <c r="AK10" i="3"/>
  <c r="AC10" i="3"/>
  <c r="U10" i="3"/>
  <c r="M10" i="3"/>
  <c r="E10" i="3"/>
  <c r="AK9" i="3"/>
  <c r="AC9" i="3"/>
  <c r="U9" i="3"/>
  <c r="M9" i="3"/>
  <c r="E9" i="3"/>
  <c r="AM7" i="3"/>
  <c r="S7" i="3"/>
  <c r="AK58" i="2"/>
  <c r="O58" i="2"/>
  <c r="AI57" i="2"/>
  <c r="M57" i="2"/>
  <c r="AE56" i="2"/>
  <c r="P56" i="2"/>
  <c r="H56" i="2"/>
  <c r="AN55" i="2"/>
  <c r="AF55" i="2"/>
  <c r="X55" i="2"/>
  <c r="P55" i="2"/>
  <c r="H55" i="2"/>
  <c r="AN54" i="2"/>
  <c r="AF54" i="2"/>
  <c r="X54" i="2"/>
  <c r="P54" i="2"/>
  <c r="H54" i="2"/>
  <c r="AN53" i="2"/>
  <c r="AF53" i="2"/>
  <c r="X53" i="2"/>
  <c r="P53" i="2"/>
  <c r="H53" i="2"/>
  <c r="AN52" i="2"/>
  <c r="AF52" i="2"/>
  <c r="X52" i="2"/>
  <c r="P52" i="2"/>
  <c r="H52" i="2"/>
  <c r="AN51" i="2"/>
  <c r="AF51" i="2"/>
  <c r="X51" i="2"/>
  <c r="P51" i="2"/>
  <c r="H51" i="2"/>
  <c r="AN50" i="2"/>
  <c r="AF50" i="2"/>
  <c r="X50" i="2"/>
  <c r="P50" i="2"/>
  <c r="H50" i="2"/>
  <c r="AN49" i="2"/>
  <c r="AF49" i="2"/>
  <c r="X49" i="2"/>
  <c r="P49" i="2"/>
  <c r="H49" i="2"/>
  <c r="AN48" i="2"/>
  <c r="AF48" i="2"/>
  <c r="X48" i="2"/>
  <c r="P48" i="2"/>
  <c r="H48" i="2"/>
  <c r="AN47" i="2"/>
  <c r="AF47" i="2"/>
  <c r="X47" i="2"/>
  <c r="P47" i="2"/>
  <c r="H47" i="2"/>
  <c r="AN46" i="2"/>
  <c r="AF46" i="2"/>
  <c r="X46" i="2"/>
  <c r="P46" i="2"/>
  <c r="H46" i="2"/>
  <c r="AN42" i="2"/>
  <c r="AF42" i="2"/>
  <c r="X42" i="2"/>
  <c r="P42" i="2"/>
  <c r="H42" i="2"/>
  <c r="AN41" i="2"/>
  <c r="AF41" i="2"/>
  <c r="X41" i="2"/>
  <c r="P41" i="2"/>
  <c r="H41" i="2"/>
  <c r="AN40" i="2"/>
  <c r="AF40" i="2"/>
  <c r="X40" i="2"/>
  <c r="P40" i="2"/>
  <c r="H40" i="2"/>
  <c r="AN39" i="2"/>
  <c r="AF39" i="2"/>
  <c r="X39" i="2"/>
  <c r="P39" i="2"/>
  <c r="H39" i="2"/>
  <c r="AN37" i="2"/>
  <c r="AF37" i="2"/>
  <c r="X37" i="2"/>
  <c r="P37" i="2"/>
  <c r="H37" i="2"/>
  <c r="AN36" i="2"/>
  <c r="AF36" i="2"/>
  <c r="X36" i="2"/>
  <c r="P36" i="2"/>
  <c r="H36" i="2"/>
  <c r="AN35" i="2"/>
  <c r="AF35" i="2"/>
  <c r="X35" i="2"/>
  <c r="P35" i="2"/>
  <c r="H35" i="2"/>
  <c r="AN34" i="2"/>
  <c r="AF34" i="2"/>
  <c r="X34" i="2"/>
  <c r="P34" i="2"/>
  <c r="H34" i="2"/>
  <c r="AN32" i="2"/>
  <c r="AF32" i="2"/>
  <c r="X32" i="2"/>
  <c r="P32" i="2"/>
  <c r="H32" i="2"/>
  <c r="AN31" i="2"/>
  <c r="AF31" i="2"/>
  <c r="X31" i="2"/>
  <c r="P31" i="2"/>
  <c r="H31" i="2"/>
  <c r="AN29" i="2"/>
  <c r="AF29" i="2"/>
  <c r="X29" i="2"/>
  <c r="P29" i="2"/>
  <c r="H29" i="2"/>
  <c r="AN28" i="2"/>
  <c r="AF28" i="2"/>
  <c r="X28" i="2"/>
  <c r="P28" i="2"/>
  <c r="H28" i="2"/>
  <c r="AN27" i="2"/>
  <c r="AF27" i="2"/>
  <c r="X27" i="2"/>
  <c r="P27" i="2"/>
  <c r="H27" i="2"/>
  <c r="AN26" i="2"/>
  <c r="AF26" i="2"/>
  <c r="X26" i="2"/>
  <c r="P26" i="2"/>
  <c r="H26" i="2"/>
  <c r="AN25" i="2"/>
  <c r="AF25" i="2"/>
  <c r="X25" i="2"/>
  <c r="P25" i="2"/>
  <c r="H25" i="2"/>
  <c r="AN24" i="2"/>
  <c r="AF24" i="2"/>
  <c r="X24" i="2"/>
  <c r="P24" i="2"/>
  <c r="H24" i="2"/>
  <c r="AN23" i="2"/>
  <c r="AF23" i="2"/>
  <c r="X23" i="2"/>
  <c r="P23" i="2"/>
  <c r="H23" i="2"/>
  <c r="AN22" i="2"/>
  <c r="AF22" i="2"/>
  <c r="AK8" i="3"/>
  <c r="AK7" i="3"/>
  <c r="O7" i="3"/>
  <c r="AI58" i="2"/>
  <c r="M58" i="2"/>
  <c r="AE57" i="2"/>
  <c r="K57" i="2"/>
  <c r="AC56" i="2"/>
  <c r="O56" i="2"/>
  <c r="G56" i="2"/>
  <c r="AM55" i="2"/>
  <c r="AE55" i="2"/>
  <c r="W55" i="2"/>
  <c r="O55" i="2"/>
  <c r="G55" i="2"/>
  <c r="AM54" i="2"/>
  <c r="AE54" i="2"/>
  <c r="W54" i="2"/>
  <c r="O54" i="2"/>
  <c r="G54" i="2"/>
  <c r="AM53" i="2"/>
  <c r="AE53" i="2"/>
  <c r="W53" i="2"/>
  <c r="O53" i="2"/>
  <c r="G53" i="2"/>
  <c r="AM52" i="2"/>
  <c r="AE52" i="2"/>
  <c r="W52" i="2"/>
  <c r="O52" i="2"/>
  <c r="G52" i="2"/>
  <c r="AM51" i="2"/>
  <c r="AE51" i="2"/>
  <c r="W51" i="2"/>
  <c r="O51" i="2"/>
  <c r="G51" i="2"/>
  <c r="AM50" i="2"/>
  <c r="AE50" i="2"/>
  <c r="W50" i="2"/>
  <c r="O50" i="2"/>
  <c r="G50" i="2"/>
  <c r="AM49" i="2"/>
  <c r="AE49" i="2"/>
  <c r="W49" i="2"/>
  <c r="O49" i="2"/>
  <c r="G49" i="2"/>
  <c r="AM48" i="2"/>
  <c r="AE48" i="2"/>
  <c r="W48" i="2"/>
  <c r="O48" i="2"/>
  <c r="G48" i="2"/>
  <c r="AM47" i="2"/>
  <c r="AE47" i="2"/>
  <c r="W47" i="2"/>
  <c r="O47" i="2"/>
  <c r="G47" i="2"/>
  <c r="AM46" i="2"/>
  <c r="AE46" i="2"/>
  <c r="W46" i="2"/>
  <c r="O46" i="2"/>
  <c r="G46" i="2"/>
  <c r="AM42" i="2"/>
  <c r="AE42" i="2"/>
  <c r="W42" i="2"/>
  <c r="O42" i="2"/>
  <c r="G42" i="2"/>
  <c r="AM41" i="2"/>
  <c r="AE41" i="2"/>
  <c r="W41" i="2"/>
  <c r="O41" i="2"/>
  <c r="G41" i="2"/>
  <c r="AM40" i="2"/>
  <c r="AE40" i="2"/>
  <c r="W40" i="2"/>
  <c r="O40" i="2"/>
  <c r="G40" i="2"/>
  <c r="AM39" i="2"/>
  <c r="AE39" i="2"/>
  <c r="W39" i="2"/>
  <c r="O39" i="2"/>
  <c r="G39" i="2"/>
  <c r="AM37" i="2"/>
  <c r="AE37" i="2"/>
  <c r="W37" i="2"/>
  <c r="O37" i="2"/>
  <c r="G37" i="2"/>
  <c r="AM36" i="2"/>
  <c r="AE36" i="2"/>
  <c r="W36" i="2"/>
  <c r="O36" i="2"/>
  <c r="G36" i="2"/>
  <c r="AM35" i="2"/>
  <c r="AE35" i="2"/>
  <c r="W35" i="2"/>
  <c r="O35" i="2"/>
  <c r="G35" i="2"/>
  <c r="AM34" i="2"/>
  <c r="AE34" i="2"/>
  <c r="W34" i="2"/>
  <c r="O34" i="2"/>
  <c r="G34" i="2"/>
  <c r="AM32" i="2"/>
  <c r="AE32" i="2"/>
  <c r="W32" i="2"/>
  <c r="O32" i="2"/>
  <c r="G32" i="2"/>
  <c r="AM31" i="2"/>
  <c r="AE31" i="2"/>
  <c r="W31" i="2"/>
  <c r="O31" i="2"/>
  <c r="G31" i="2"/>
  <c r="AM29" i="2"/>
  <c r="AE29" i="2"/>
  <c r="W29" i="2"/>
  <c r="O29" i="2"/>
  <c r="G29" i="2"/>
  <c r="AM28" i="2"/>
  <c r="AE28" i="2"/>
  <c r="W28" i="2"/>
  <c r="O28" i="2"/>
  <c r="G28" i="2"/>
  <c r="AM27" i="2"/>
  <c r="AE27" i="2"/>
  <c r="W27" i="2"/>
  <c r="O27" i="2"/>
  <c r="G27" i="2"/>
  <c r="AM26" i="2"/>
  <c r="AE26" i="2"/>
  <c r="W26" i="2"/>
  <c r="O26" i="2"/>
  <c r="AC8" i="3"/>
  <c r="AI7" i="3"/>
  <c r="M7" i="3"/>
  <c r="AE58" i="2"/>
  <c r="K58" i="2"/>
  <c r="AC57" i="2"/>
  <c r="G57" i="2"/>
  <c r="AA56" i="2"/>
  <c r="N56" i="2"/>
  <c r="F56" i="2"/>
  <c r="AL55" i="2"/>
  <c r="AD55" i="2"/>
  <c r="V55" i="2"/>
  <c r="N55" i="2"/>
  <c r="F55" i="2"/>
  <c r="AL54" i="2"/>
  <c r="AD54" i="2"/>
  <c r="V54" i="2"/>
  <c r="N54" i="2"/>
  <c r="F54" i="2"/>
  <c r="AL53" i="2"/>
  <c r="AD53" i="2"/>
  <c r="V53" i="2"/>
  <c r="N53" i="2"/>
  <c r="F53" i="2"/>
  <c r="AL52" i="2"/>
  <c r="AD52" i="2"/>
  <c r="V52" i="2"/>
  <c r="N52" i="2"/>
  <c r="F52" i="2"/>
  <c r="AL51" i="2"/>
  <c r="AD51" i="2"/>
  <c r="V51" i="2"/>
  <c r="N51" i="2"/>
  <c r="F51" i="2"/>
  <c r="AL50" i="2"/>
  <c r="AD50" i="2"/>
  <c r="V50" i="2"/>
  <c r="N50" i="2"/>
  <c r="F50" i="2"/>
  <c r="AL49" i="2"/>
  <c r="AD49" i="2"/>
  <c r="V49" i="2"/>
  <c r="N49" i="2"/>
  <c r="F49" i="2"/>
  <c r="AL48" i="2"/>
  <c r="AD48" i="2"/>
  <c r="V48" i="2"/>
  <c r="N48" i="2"/>
  <c r="F48" i="2"/>
  <c r="AL47" i="2"/>
  <c r="AD47" i="2"/>
  <c r="V47" i="2"/>
  <c r="N47" i="2"/>
  <c r="F47" i="2"/>
  <c r="AL46" i="2"/>
  <c r="AD46" i="2"/>
  <c r="V46" i="2"/>
  <c r="N46" i="2"/>
  <c r="F46" i="2"/>
  <c r="AL42" i="2"/>
  <c r="AD42" i="2"/>
  <c r="V42" i="2"/>
  <c r="N42" i="2"/>
  <c r="F42" i="2"/>
  <c r="AL41" i="2"/>
  <c r="AD41" i="2"/>
  <c r="V41" i="2"/>
  <c r="N41" i="2"/>
  <c r="F41" i="2"/>
  <c r="AL40" i="2"/>
  <c r="AD40" i="2"/>
  <c r="V40" i="2"/>
  <c r="N40" i="2"/>
  <c r="F40" i="2"/>
  <c r="AL39" i="2"/>
  <c r="AD39" i="2"/>
  <c r="V39" i="2"/>
  <c r="N39" i="2"/>
  <c r="F39" i="2"/>
  <c r="AL37" i="2"/>
  <c r="AD37" i="2"/>
  <c r="V37" i="2"/>
  <c r="N37" i="2"/>
  <c r="F37" i="2"/>
  <c r="AL36" i="2"/>
  <c r="AD36" i="2"/>
  <c r="V36" i="2"/>
  <c r="N36" i="2"/>
  <c r="F36" i="2"/>
  <c r="AL35" i="2"/>
  <c r="AD35" i="2"/>
  <c r="V35" i="2"/>
  <c r="N35" i="2"/>
  <c r="F35" i="2"/>
  <c r="AL34" i="2"/>
  <c r="AD34" i="2"/>
  <c r="V34" i="2"/>
  <c r="N34" i="2"/>
  <c r="F34" i="2"/>
  <c r="AL32" i="2"/>
  <c r="AD32" i="2"/>
  <c r="V32" i="2"/>
  <c r="N32" i="2"/>
  <c r="F32" i="2"/>
  <c r="AL31" i="2"/>
  <c r="AD31" i="2"/>
  <c r="V31" i="2"/>
  <c r="N31" i="2"/>
  <c r="F31" i="2"/>
  <c r="AL29" i="2"/>
  <c r="AD29" i="2"/>
  <c r="V29" i="2"/>
  <c r="N29" i="2"/>
  <c r="F29" i="2"/>
  <c r="AL28" i="2"/>
  <c r="AD28" i="2"/>
  <c r="V28" i="2"/>
  <c r="N28" i="2"/>
  <c r="F28" i="2"/>
  <c r="AL27" i="2"/>
  <c r="AD27" i="2"/>
  <c r="V27" i="2"/>
  <c r="N27" i="2"/>
  <c r="F27" i="2"/>
  <c r="AL26" i="2"/>
  <c r="AD26" i="2"/>
  <c r="V26" i="2"/>
  <c r="N26" i="2"/>
  <c r="F26" i="2"/>
  <c r="AL25" i="2"/>
  <c r="AD25" i="2"/>
  <c r="V25" i="2"/>
  <c r="N25" i="2"/>
  <c r="F25" i="2"/>
  <c r="AL24" i="2"/>
  <c r="AD24" i="2"/>
  <c r="V24" i="2"/>
  <c r="N24" i="2"/>
  <c r="F24" i="2"/>
  <c r="AL23" i="2"/>
  <c r="AD23" i="2"/>
  <c r="V23" i="2"/>
  <c r="N23" i="2"/>
  <c r="F23" i="2"/>
  <c r="AL22" i="2"/>
  <c r="AD22" i="2"/>
  <c r="U8" i="3"/>
  <c r="AE7" i="3"/>
  <c r="K7" i="3"/>
  <c r="AC58" i="2"/>
  <c r="G58" i="2"/>
  <c r="AA57" i="2"/>
  <c r="E57" i="2"/>
  <c r="W56" i="2"/>
  <c r="M56" i="2"/>
  <c r="E56" i="2"/>
  <c r="AK55" i="2"/>
  <c r="AC55" i="2"/>
  <c r="U55" i="2"/>
  <c r="M55" i="2"/>
  <c r="E55" i="2"/>
  <c r="AK54" i="2"/>
  <c r="AC54" i="2"/>
  <c r="U54" i="2"/>
  <c r="M54" i="2"/>
  <c r="E54" i="2"/>
  <c r="AK53" i="2"/>
  <c r="AC53" i="2"/>
  <c r="U53" i="2"/>
  <c r="M53" i="2"/>
  <c r="E53" i="2"/>
  <c r="AK52" i="2"/>
  <c r="AC52" i="2"/>
  <c r="U52" i="2"/>
  <c r="M52" i="2"/>
  <c r="E52" i="2"/>
  <c r="AK51" i="2"/>
  <c r="AC51" i="2"/>
  <c r="U51" i="2"/>
  <c r="M51" i="2"/>
  <c r="E51" i="2"/>
  <c r="AK50" i="2"/>
  <c r="AC50" i="2"/>
  <c r="U50" i="2"/>
  <c r="M50" i="2"/>
  <c r="E50" i="2"/>
  <c r="AK49" i="2"/>
  <c r="AC49" i="2"/>
  <c r="U49" i="2"/>
  <c r="M49" i="2"/>
  <c r="E49" i="2"/>
  <c r="AK48" i="2"/>
  <c r="AC48" i="2"/>
  <c r="U48" i="2"/>
  <c r="M48" i="2"/>
  <c r="E48" i="2"/>
  <c r="AK47" i="2"/>
  <c r="AC47" i="2"/>
  <c r="U47" i="2"/>
  <c r="M47" i="2"/>
  <c r="E47" i="2"/>
  <c r="AK46" i="2"/>
  <c r="AC46" i="2"/>
  <c r="U46" i="2"/>
  <c r="M46" i="2"/>
  <c r="E46" i="2"/>
  <c r="AK42" i="2"/>
  <c r="AC42" i="2"/>
  <c r="U42" i="2"/>
  <c r="M42" i="2"/>
  <c r="E42" i="2"/>
  <c r="AK41" i="2"/>
  <c r="AC41" i="2"/>
  <c r="U41" i="2"/>
  <c r="M41" i="2"/>
  <c r="E41" i="2"/>
  <c r="AK40" i="2"/>
  <c r="AC40" i="2"/>
  <c r="U40" i="2"/>
  <c r="M40" i="2"/>
  <c r="E40" i="2"/>
  <c r="AK39" i="2"/>
  <c r="AC39" i="2"/>
  <c r="U39" i="2"/>
  <c r="M39" i="2"/>
  <c r="E39" i="2"/>
  <c r="AK37" i="2"/>
  <c r="AC37" i="2"/>
  <c r="U37" i="2"/>
  <c r="M37" i="2"/>
  <c r="E37" i="2"/>
  <c r="AK36" i="2"/>
  <c r="AC36" i="2"/>
  <c r="U36" i="2"/>
  <c r="M36" i="2"/>
  <c r="E36" i="2"/>
  <c r="AK35" i="2"/>
  <c r="AC35" i="2"/>
  <c r="U35" i="2"/>
  <c r="M35" i="2"/>
  <c r="E35" i="2"/>
  <c r="AK34" i="2"/>
  <c r="AC34" i="2"/>
  <c r="U34" i="2"/>
  <c r="M34" i="2"/>
  <c r="E34" i="2"/>
  <c r="AK32" i="2"/>
  <c r="AC32" i="2"/>
  <c r="U32" i="2"/>
  <c r="M32" i="2"/>
  <c r="E32" i="2"/>
  <c r="AK31" i="2"/>
  <c r="AC31" i="2"/>
  <c r="U31" i="2"/>
  <c r="M31" i="2"/>
  <c r="E31" i="2"/>
  <c r="AK29" i="2"/>
  <c r="AC29" i="2"/>
  <c r="U29" i="2"/>
  <c r="M29" i="2"/>
  <c r="E29" i="2"/>
  <c r="AK28" i="2"/>
  <c r="AC28" i="2"/>
  <c r="U28" i="2"/>
  <c r="M28" i="2"/>
  <c r="E28" i="2"/>
  <c r="AK27" i="2"/>
  <c r="AC27" i="2"/>
  <c r="U27" i="2"/>
  <c r="M27" i="2"/>
  <c r="E27" i="2"/>
  <c r="AK26" i="2"/>
  <c r="AC26" i="2"/>
  <c r="U26" i="2"/>
  <c r="M26" i="2"/>
  <c r="E26" i="2"/>
  <c r="AK25" i="2"/>
  <c r="AC25" i="2"/>
  <c r="U25" i="2"/>
  <c r="M25" i="2"/>
  <c r="E25" i="2"/>
  <c r="AK24" i="2"/>
  <c r="AC24" i="2"/>
  <c r="U24" i="2"/>
  <c r="M24" i="2"/>
  <c r="E24" i="2"/>
  <c r="AK23" i="2"/>
  <c r="AC23" i="2"/>
  <c r="U23" i="2"/>
  <c r="M23" i="2"/>
  <c r="E23" i="2"/>
  <c r="AK22" i="2"/>
  <c r="M8" i="3"/>
  <c r="AC7" i="3"/>
  <c r="G7" i="3"/>
  <c r="AA58" i="2"/>
  <c r="E58" i="2"/>
  <c r="W57" i="2"/>
  <c r="C57" i="2"/>
  <c r="U56" i="2"/>
  <c r="L56" i="2"/>
  <c r="D56" i="2"/>
  <c r="AJ55" i="2"/>
  <c r="AB55" i="2"/>
  <c r="T55" i="2"/>
  <c r="L55" i="2"/>
  <c r="D55" i="2"/>
  <c r="AJ54" i="2"/>
  <c r="AB54" i="2"/>
  <c r="T54" i="2"/>
  <c r="L54" i="2"/>
  <c r="D54" i="2"/>
  <c r="AJ53" i="2"/>
  <c r="AB53" i="2"/>
  <c r="T53" i="2"/>
  <c r="L53" i="2"/>
  <c r="D53" i="2"/>
  <c r="AJ52" i="2"/>
  <c r="AB52" i="2"/>
  <c r="T52" i="2"/>
  <c r="L52" i="2"/>
  <c r="D52" i="2"/>
  <c r="AJ51" i="2"/>
  <c r="AB51" i="2"/>
  <c r="T51" i="2"/>
  <c r="L51" i="2"/>
  <c r="D51" i="2"/>
  <c r="AJ50" i="2"/>
  <c r="AB50" i="2"/>
  <c r="T50" i="2"/>
  <c r="L50" i="2"/>
  <c r="D50" i="2"/>
  <c r="AJ49" i="2"/>
  <c r="AB49" i="2"/>
  <c r="T49" i="2"/>
  <c r="L49" i="2"/>
  <c r="D49" i="2"/>
  <c r="AJ48" i="2"/>
  <c r="AB48" i="2"/>
  <c r="T48" i="2"/>
  <c r="L48" i="2"/>
  <c r="D48" i="2"/>
  <c r="AJ47" i="2"/>
  <c r="AB47" i="2"/>
  <c r="T47" i="2"/>
  <c r="L47" i="2"/>
  <c r="D47" i="2"/>
  <c r="AJ46" i="2"/>
  <c r="AB46" i="2"/>
  <c r="T46" i="2"/>
  <c r="L46" i="2"/>
  <c r="D46" i="2"/>
  <c r="AJ42" i="2"/>
  <c r="AB42" i="2"/>
  <c r="T42" i="2"/>
  <c r="L42" i="2"/>
  <c r="D42" i="2"/>
  <c r="AJ41" i="2"/>
  <c r="AB41" i="2"/>
  <c r="T41" i="2"/>
  <c r="L41" i="2"/>
  <c r="D41" i="2"/>
  <c r="AJ40" i="2"/>
  <c r="AB40" i="2"/>
  <c r="T40" i="2"/>
  <c r="L40" i="2"/>
  <c r="D40" i="2"/>
  <c r="AJ39" i="2"/>
  <c r="AB39" i="2"/>
  <c r="T39" i="2"/>
  <c r="L39" i="2"/>
  <c r="D39" i="2"/>
  <c r="AJ37" i="2"/>
  <c r="AB37" i="2"/>
  <c r="T37" i="2"/>
  <c r="L37" i="2"/>
  <c r="D37" i="2"/>
  <c r="AJ36" i="2"/>
  <c r="AB36" i="2"/>
  <c r="T36" i="2"/>
  <c r="L36" i="2"/>
  <c r="D36" i="2"/>
  <c r="AJ35" i="2"/>
  <c r="AB35" i="2"/>
  <c r="T35" i="2"/>
  <c r="L35" i="2"/>
  <c r="D35" i="2"/>
  <c r="AJ34" i="2"/>
  <c r="AB34" i="2"/>
  <c r="T34" i="2"/>
  <c r="L34" i="2"/>
  <c r="D34" i="2"/>
  <c r="AJ32" i="2"/>
  <c r="AB32" i="2"/>
  <c r="T32" i="2"/>
  <c r="L32" i="2"/>
  <c r="D32" i="2"/>
  <c r="AJ31" i="2"/>
  <c r="AB31" i="2"/>
  <c r="T31" i="2"/>
  <c r="L31" i="2"/>
  <c r="D31" i="2"/>
  <c r="AJ29" i="2"/>
  <c r="AB29" i="2"/>
  <c r="T29" i="2"/>
  <c r="L29" i="2"/>
  <c r="D29" i="2"/>
  <c r="AJ28" i="2"/>
  <c r="AB28" i="2"/>
  <c r="T28" i="2"/>
  <c r="L28" i="2"/>
  <c r="D28" i="2"/>
  <c r="AJ27" i="2"/>
  <c r="AB27" i="2"/>
  <c r="T27" i="2"/>
  <c r="L27" i="2"/>
  <c r="D27" i="2"/>
  <c r="AJ26" i="2"/>
  <c r="AB26" i="2"/>
  <c r="T26" i="2"/>
  <c r="L26" i="2"/>
  <c r="D26" i="2"/>
  <c r="AJ25" i="2"/>
  <c r="AB25" i="2"/>
  <c r="T25" i="2"/>
  <c r="L25" i="2"/>
  <c r="D25" i="2"/>
  <c r="AJ24" i="2"/>
  <c r="AB24" i="2"/>
  <c r="T24" i="2"/>
  <c r="L24" i="2"/>
  <c r="D24" i="2"/>
  <c r="AJ23" i="2"/>
  <c r="AB23" i="2"/>
  <c r="T23" i="2"/>
  <c r="L23" i="2"/>
  <c r="D23" i="2"/>
  <c r="AJ22" i="2"/>
  <c r="G8" i="3"/>
  <c r="AA7" i="3"/>
  <c r="E7" i="3"/>
  <c r="W58" i="2"/>
  <c r="C58" i="2"/>
  <c r="U57" i="2"/>
  <c r="AM56" i="2"/>
  <c r="S56" i="2"/>
  <c r="K56" i="2"/>
  <c r="C56" i="2"/>
  <c r="AI55" i="2"/>
  <c r="AA55" i="2"/>
  <c r="S55" i="2"/>
  <c r="K55" i="2"/>
  <c r="C55" i="2"/>
  <c r="AI54" i="2"/>
  <c r="AA54" i="2"/>
  <c r="S54" i="2"/>
  <c r="K54" i="2"/>
  <c r="C54" i="2"/>
  <c r="AI53" i="2"/>
  <c r="AA53" i="2"/>
  <c r="S53" i="2"/>
  <c r="K53" i="2"/>
  <c r="C53" i="2"/>
  <c r="AI52" i="2"/>
  <c r="AA52" i="2"/>
  <c r="S52" i="2"/>
  <c r="K52" i="2"/>
  <c r="C52" i="2"/>
  <c r="AI51" i="2"/>
  <c r="AA51" i="2"/>
  <c r="S51" i="2"/>
  <c r="K51" i="2"/>
  <c r="C51" i="2"/>
  <c r="AI50" i="2"/>
  <c r="AA50" i="2"/>
  <c r="S50" i="2"/>
  <c r="K50" i="2"/>
  <c r="C50" i="2"/>
  <c r="AI49" i="2"/>
  <c r="AA49" i="2"/>
  <c r="S49" i="2"/>
  <c r="K49" i="2"/>
  <c r="C49" i="2"/>
  <c r="AI48" i="2"/>
  <c r="AA48" i="2"/>
  <c r="S48" i="2"/>
  <c r="K48" i="2"/>
  <c r="C48" i="2"/>
  <c r="AI47" i="2"/>
  <c r="AA47" i="2"/>
  <c r="S47" i="2"/>
  <c r="K47" i="2"/>
  <c r="C47" i="2"/>
  <c r="AI46" i="2"/>
  <c r="AA46" i="2"/>
  <c r="S46" i="2"/>
  <c r="K46" i="2"/>
  <c r="C46" i="2"/>
  <c r="AI42" i="2"/>
  <c r="AA42" i="2"/>
  <c r="S42" i="2"/>
  <c r="K42" i="2"/>
  <c r="C42" i="2"/>
  <c r="AI41" i="2"/>
  <c r="AA41" i="2"/>
  <c r="S41" i="2"/>
  <c r="K41" i="2"/>
  <c r="C41" i="2"/>
  <c r="AI40" i="2"/>
  <c r="AA40" i="2"/>
  <c r="S40" i="2"/>
  <c r="K40" i="2"/>
  <c r="C40" i="2"/>
  <c r="AI39" i="2"/>
  <c r="AA39" i="2"/>
  <c r="S39" i="2"/>
  <c r="K39" i="2"/>
  <c r="C39" i="2"/>
  <c r="AI37" i="2"/>
  <c r="AA37" i="2"/>
  <c r="S37" i="2"/>
  <c r="K37" i="2"/>
  <c r="C37" i="2"/>
  <c r="AI36" i="2"/>
  <c r="AA36" i="2"/>
  <c r="S36" i="2"/>
  <c r="K36" i="2"/>
  <c r="C36" i="2"/>
  <c r="AI35" i="2"/>
  <c r="AA35" i="2"/>
  <c r="S35" i="2"/>
  <c r="K35" i="2"/>
  <c r="C35" i="2"/>
  <c r="AI34" i="2"/>
  <c r="AA34" i="2"/>
  <c r="S34" i="2"/>
  <c r="K34" i="2"/>
  <c r="C34" i="2"/>
  <c r="AI32" i="2"/>
  <c r="AA32" i="2"/>
  <c r="S32" i="2"/>
  <c r="K32" i="2"/>
  <c r="C32" i="2"/>
  <c r="AI31" i="2"/>
  <c r="AA31" i="2"/>
  <c r="S31" i="2"/>
  <c r="K31" i="2"/>
  <c r="C31" i="2"/>
  <c r="AI29" i="2"/>
  <c r="AA29" i="2"/>
  <c r="S29" i="2"/>
  <c r="K29" i="2"/>
  <c r="C29" i="2"/>
  <c r="AI28" i="2"/>
  <c r="AA28" i="2"/>
  <c r="S28" i="2"/>
  <c r="K28" i="2"/>
  <c r="C28" i="2"/>
  <c r="AI27" i="2"/>
  <c r="AA27" i="2"/>
  <c r="S27" i="2"/>
  <c r="K27" i="2"/>
  <c r="C27" i="2"/>
  <c r="AI26" i="2"/>
  <c r="AA26" i="2"/>
  <c r="C8" i="3"/>
  <c r="U7" i="3"/>
  <c r="AM58" i="2"/>
  <c r="S58" i="2"/>
  <c r="AK57" i="2"/>
  <c r="O57" i="2"/>
  <c r="AI56" i="2"/>
  <c r="Q56" i="2"/>
  <c r="I56" i="2"/>
  <c r="AO55" i="2"/>
  <c r="AG55" i="2"/>
  <c r="Y55" i="2"/>
  <c r="Q55" i="2"/>
  <c r="I55" i="2"/>
  <c r="AO54" i="2"/>
  <c r="AG54" i="2"/>
  <c r="Y54" i="2"/>
  <c r="Q54" i="2"/>
  <c r="I54" i="2"/>
  <c r="AO53" i="2"/>
  <c r="AG53" i="2"/>
  <c r="Y53" i="2"/>
  <c r="Q53" i="2"/>
  <c r="I53" i="2"/>
  <c r="AO52" i="2"/>
  <c r="AG52" i="2"/>
  <c r="Y52" i="2"/>
  <c r="Q52" i="2"/>
  <c r="I52" i="2"/>
  <c r="AO51" i="2"/>
  <c r="AG51" i="2"/>
  <c r="Y51" i="2"/>
  <c r="Q51" i="2"/>
  <c r="I51" i="2"/>
  <c r="AO50" i="2"/>
  <c r="AG50" i="2"/>
  <c r="Y50" i="2"/>
  <c r="Q50" i="2"/>
  <c r="I50" i="2"/>
  <c r="AO49" i="2"/>
  <c r="AG49" i="2"/>
  <c r="Y49" i="2"/>
  <c r="Q49" i="2"/>
  <c r="I49" i="2"/>
  <c r="AO48" i="2"/>
  <c r="AG48" i="2"/>
  <c r="Y48" i="2"/>
  <c r="Q48" i="2"/>
  <c r="I48" i="2"/>
  <c r="AO47" i="2"/>
  <c r="AG47" i="2"/>
  <c r="Y47" i="2"/>
  <c r="Q47" i="2"/>
  <c r="I47" i="2"/>
  <c r="AO46" i="2"/>
  <c r="AG46" i="2"/>
  <c r="Y46" i="2"/>
  <c r="Q46" i="2"/>
  <c r="I46" i="2"/>
  <c r="AO42" i="2"/>
  <c r="AG42" i="2"/>
  <c r="Y42" i="2"/>
  <c r="Q42" i="2"/>
  <c r="I42" i="2"/>
  <c r="AO41" i="2"/>
  <c r="AG41" i="2"/>
  <c r="Y41" i="2"/>
  <c r="Q41" i="2"/>
  <c r="I41" i="2"/>
  <c r="AO40" i="2"/>
  <c r="AG40" i="2"/>
  <c r="Y40" i="2"/>
  <c r="Q40" i="2"/>
  <c r="I40" i="2"/>
  <c r="AO39" i="2"/>
  <c r="AG39" i="2"/>
  <c r="Y39" i="2"/>
  <c r="Q39" i="2"/>
  <c r="I39" i="2"/>
  <c r="AO37" i="2"/>
  <c r="AG37" i="2"/>
  <c r="Y37" i="2"/>
  <c r="Q37" i="2"/>
  <c r="I37" i="2"/>
  <c r="AO36" i="2"/>
  <c r="AG36" i="2"/>
  <c r="Y36" i="2"/>
  <c r="Q36" i="2"/>
  <c r="I36" i="2"/>
  <c r="AO35" i="2"/>
  <c r="AG35" i="2"/>
  <c r="Y35" i="2"/>
  <c r="Q35" i="2"/>
  <c r="I35" i="2"/>
  <c r="AO34" i="2"/>
  <c r="AG34" i="2"/>
  <c r="Y34" i="2"/>
  <c r="Q34" i="2"/>
  <c r="I34" i="2"/>
  <c r="AO32" i="2"/>
  <c r="AG32" i="2"/>
  <c r="Y32" i="2"/>
  <c r="Q32" i="2"/>
  <c r="I32" i="2"/>
  <c r="AO31" i="2"/>
  <c r="AG31" i="2"/>
  <c r="Y31" i="2"/>
  <c r="Q31" i="2"/>
  <c r="I31" i="2"/>
  <c r="AO29" i="2"/>
  <c r="AG29" i="2"/>
  <c r="Y29" i="2"/>
  <c r="Q29" i="2"/>
  <c r="I29" i="2"/>
  <c r="AO28" i="2"/>
  <c r="AG28" i="2"/>
  <c r="Y28" i="2"/>
  <c r="Q28" i="2"/>
  <c r="I28" i="2"/>
  <c r="AO27" i="2"/>
  <c r="AG27" i="2"/>
  <c r="Y27" i="2"/>
  <c r="Q27" i="2"/>
  <c r="I27" i="2"/>
  <c r="AO26" i="2"/>
  <c r="AG26" i="2"/>
  <c r="Y26" i="2"/>
  <c r="Q26" i="2"/>
  <c r="I26" i="2"/>
  <c r="AO25" i="2"/>
  <c r="AG25" i="2"/>
  <c r="Y25" i="2"/>
  <c r="Q25" i="2"/>
  <c r="I25" i="2"/>
  <c r="AO24" i="2"/>
  <c r="AG24" i="2"/>
  <c r="Y24" i="2"/>
  <c r="Q24" i="2"/>
  <c r="I24" i="2"/>
  <c r="AO23" i="2"/>
  <c r="AG23" i="2"/>
  <c r="Y23" i="2"/>
  <c r="Q23" i="2"/>
  <c r="I23" i="2"/>
  <c r="AO22" i="2"/>
  <c r="AG22" i="2"/>
  <c r="E8" i="3"/>
  <c r="J56" i="2"/>
  <c r="Z54" i="2"/>
  <c r="AP52" i="2"/>
  <c r="R51" i="2"/>
  <c r="AH49" i="2"/>
  <c r="J48" i="2"/>
  <c r="Z46" i="2"/>
  <c r="AP41" i="2"/>
  <c r="R40" i="2"/>
  <c r="AH37" i="2"/>
  <c r="J36" i="2"/>
  <c r="Z34" i="2"/>
  <c r="AP31" i="2"/>
  <c r="R29" i="2"/>
  <c r="AH27" i="2"/>
  <c r="R26" i="2"/>
  <c r="AH25" i="2"/>
  <c r="K25" i="2"/>
  <c r="AE24" i="2"/>
  <c r="J24" i="2"/>
  <c r="AA23" i="2"/>
  <c r="G23" i="2"/>
  <c r="AB22" i="2"/>
  <c r="T22" i="2"/>
  <c r="L22" i="2"/>
  <c r="D22" i="2"/>
  <c r="AJ21" i="2"/>
  <c r="AB21" i="2"/>
  <c r="T21" i="2"/>
  <c r="L21" i="2"/>
  <c r="D21" i="2"/>
  <c r="AJ20" i="2"/>
  <c r="AB20" i="2"/>
  <c r="T20" i="2"/>
  <c r="L20" i="2"/>
  <c r="D20" i="2"/>
  <c r="AJ19" i="2"/>
  <c r="AB19" i="2"/>
  <c r="T19" i="2"/>
  <c r="L19" i="2"/>
  <c r="D19" i="2"/>
  <c r="AJ18" i="2"/>
  <c r="AB18" i="2"/>
  <c r="T18" i="2"/>
  <c r="L18" i="2"/>
  <c r="D18" i="2"/>
  <c r="AJ17" i="2"/>
  <c r="AB17" i="2"/>
  <c r="T17" i="2"/>
  <c r="L17" i="2"/>
  <c r="D17" i="2"/>
  <c r="AJ16" i="2"/>
  <c r="AB16" i="2"/>
  <c r="T16" i="2"/>
  <c r="D16" i="2"/>
  <c r="AJ15" i="2"/>
  <c r="T15" i="2"/>
  <c r="D15" i="2"/>
  <c r="AJ14" i="2"/>
  <c r="T14" i="2"/>
  <c r="D14" i="2"/>
  <c r="AB13" i="2"/>
  <c r="L13" i="2"/>
  <c r="AJ12" i="2"/>
  <c r="T12" i="2"/>
  <c r="AJ11" i="2"/>
  <c r="T11" i="2"/>
  <c r="D11" i="2"/>
  <c r="AB10" i="2"/>
  <c r="L10" i="2"/>
  <c r="D10" i="2"/>
  <c r="T9" i="2"/>
  <c r="D9" i="2"/>
  <c r="AB8" i="2"/>
  <c r="L8" i="2"/>
  <c r="AJ7" i="2"/>
  <c r="T7" i="2"/>
  <c r="D7" i="2"/>
  <c r="AB6" i="2"/>
  <c r="L6" i="2"/>
  <c r="AL13" i="2"/>
  <c r="AD11" i="2"/>
  <c r="N9" i="2"/>
  <c r="AD6" i="2"/>
  <c r="W7" i="3"/>
  <c r="AP55" i="2"/>
  <c r="R54" i="2"/>
  <c r="AH52" i="2"/>
  <c r="J51" i="2"/>
  <c r="Z49" i="2"/>
  <c r="AP47" i="2"/>
  <c r="R46" i="2"/>
  <c r="AH41" i="2"/>
  <c r="J40" i="2"/>
  <c r="Z37" i="2"/>
  <c r="AP35" i="2"/>
  <c r="R34" i="2"/>
  <c r="AH31" i="2"/>
  <c r="J29" i="2"/>
  <c r="Z27" i="2"/>
  <c r="K26" i="2"/>
  <c r="AE25" i="2"/>
  <c r="J25" i="2"/>
  <c r="AA24" i="2"/>
  <c r="G24" i="2"/>
  <c r="Z23" i="2"/>
  <c r="C23" i="2"/>
  <c r="AA22" i="2"/>
  <c r="S22" i="2"/>
  <c r="K22" i="2"/>
  <c r="C22" i="2"/>
  <c r="AI21" i="2"/>
  <c r="AA21" i="2"/>
  <c r="S21" i="2"/>
  <c r="K21" i="2"/>
  <c r="C21" i="2"/>
  <c r="AI20" i="2"/>
  <c r="AA20" i="2"/>
  <c r="S20" i="2"/>
  <c r="K20" i="2"/>
  <c r="C20" i="2"/>
  <c r="AI19" i="2"/>
  <c r="AA19" i="2"/>
  <c r="S19" i="2"/>
  <c r="K19" i="2"/>
  <c r="C19" i="2"/>
  <c r="AI18" i="2"/>
  <c r="AA18" i="2"/>
  <c r="S18" i="2"/>
  <c r="K18" i="2"/>
  <c r="C18" i="2"/>
  <c r="AI17" i="2"/>
  <c r="AA17" i="2"/>
  <c r="S17" i="2"/>
  <c r="K17" i="2"/>
  <c r="C17" i="2"/>
  <c r="AI16" i="2"/>
  <c r="AA16" i="2"/>
  <c r="S16" i="2"/>
  <c r="K16" i="2"/>
  <c r="C16" i="2"/>
  <c r="AI15" i="2"/>
  <c r="AA15" i="2"/>
  <c r="S15" i="2"/>
  <c r="K15" i="2"/>
  <c r="C15" i="2"/>
  <c r="AI14" i="2"/>
  <c r="AA14" i="2"/>
  <c r="S14" i="2"/>
  <c r="K14" i="2"/>
  <c r="C14" i="2"/>
  <c r="AI13" i="2"/>
  <c r="AA13" i="2"/>
  <c r="S13" i="2"/>
  <c r="K13" i="2"/>
  <c r="C13" i="2"/>
  <c r="AI12" i="2"/>
  <c r="AA12" i="2"/>
  <c r="S12" i="2"/>
  <c r="K12" i="2"/>
  <c r="C12" i="2"/>
  <c r="AI11" i="2"/>
  <c r="AA11" i="2"/>
  <c r="S11" i="2"/>
  <c r="K11" i="2"/>
  <c r="C11" i="2"/>
  <c r="AI10" i="2"/>
  <c r="AA10" i="2"/>
  <c r="S10" i="2"/>
  <c r="K10" i="2"/>
  <c r="C10" i="2"/>
  <c r="AI9" i="2"/>
  <c r="AA9" i="2"/>
  <c r="S9" i="2"/>
  <c r="K9" i="2"/>
  <c r="C9" i="2"/>
  <c r="AI8" i="2"/>
  <c r="AA8" i="2"/>
  <c r="S8" i="2"/>
  <c r="K8" i="2"/>
  <c r="C8" i="2"/>
  <c r="AI7" i="2"/>
  <c r="AA7" i="2"/>
  <c r="S7" i="2"/>
  <c r="K7" i="2"/>
  <c r="C7" i="2"/>
  <c r="AI6" i="2"/>
  <c r="AA6" i="2"/>
  <c r="S6" i="2"/>
  <c r="K6" i="2"/>
  <c r="C6" i="2"/>
  <c r="AD20" i="2"/>
  <c r="AD17" i="2"/>
  <c r="V16" i="2"/>
  <c r="V15" i="2"/>
  <c r="V14" i="2"/>
  <c r="N13" i="2"/>
  <c r="F12" i="2"/>
  <c r="AL10" i="2"/>
  <c r="V9" i="2"/>
  <c r="N8" i="2"/>
  <c r="F7" i="2"/>
  <c r="C7" i="3"/>
  <c r="AH55" i="2"/>
  <c r="J54" i="2"/>
  <c r="Z52" i="2"/>
  <c r="AP50" i="2"/>
  <c r="R49" i="2"/>
  <c r="AH47" i="2"/>
  <c r="J46" i="2"/>
  <c r="Z41" i="2"/>
  <c r="AP39" i="2"/>
  <c r="R37" i="2"/>
  <c r="AH35" i="2"/>
  <c r="J34" i="2"/>
  <c r="Z31" i="2"/>
  <c r="AP28" i="2"/>
  <c r="R27" i="2"/>
  <c r="J26" i="2"/>
  <c r="AA25" i="2"/>
  <c r="G25" i="2"/>
  <c r="Z24" i="2"/>
  <c r="C24" i="2"/>
  <c r="W23" i="2"/>
  <c r="AP22" i="2"/>
  <c r="Z22" i="2"/>
  <c r="R22" i="2"/>
  <c r="J22" i="2"/>
  <c r="AP21" i="2"/>
  <c r="AH21" i="2"/>
  <c r="Z21" i="2"/>
  <c r="R21" i="2"/>
  <c r="J21" i="2"/>
  <c r="AP20" i="2"/>
  <c r="AH20" i="2"/>
  <c r="Z20" i="2"/>
  <c r="R20" i="2"/>
  <c r="J20" i="2"/>
  <c r="AP19" i="2"/>
  <c r="AH19" i="2"/>
  <c r="Z19" i="2"/>
  <c r="R19" i="2"/>
  <c r="J19" i="2"/>
  <c r="AP18" i="2"/>
  <c r="AH18" i="2"/>
  <c r="Z18" i="2"/>
  <c r="R18" i="2"/>
  <c r="J18" i="2"/>
  <c r="AP17" i="2"/>
  <c r="AH17" i="2"/>
  <c r="Z17" i="2"/>
  <c r="R17" i="2"/>
  <c r="J17" i="2"/>
  <c r="AP16" i="2"/>
  <c r="AH16" i="2"/>
  <c r="Z16" i="2"/>
  <c r="R16" i="2"/>
  <c r="J16" i="2"/>
  <c r="AP15" i="2"/>
  <c r="AH15" i="2"/>
  <c r="Z15" i="2"/>
  <c r="R15" i="2"/>
  <c r="J15" i="2"/>
  <c r="AP14" i="2"/>
  <c r="AH14" i="2"/>
  <c r="Z14" i="2"/>
  <c r="R14" i="2"/>
  <c r="J14" i="2"/>
  <c r="AP13" i="2"/>
  <c r="AH13" i="2"/>
  <c r="Z13" i="2"/>
  <c r="R13" i="2"/>
  <c r="J13" i="2"/>
  <c r="AP12" i="2"/>
  <c r="AH12" i="2"/>
  <c r="Z12" i="2"/>
  <c r="R12" i="2"/>
  <c r="J12" i="2"/>
  <c r="AP11" i="2"/>
  <c r="AH11" i="2"/>
  <c r="Z11" i="2"/>
  <c r="R11" i="2"/>
  <c r="J11" i="2"/>
  <c r="AP10" i="2"/>
  <c r="AH10" i="2"/>
  <c r="Z10" i="2"/>
  <c r="R10" i="2"/>
  <c r="J10" i="2"/>
  <c r="AP9" i="2"/>
  <c r="AH9" i="2"/>
  <c r="Z9" i="2"/>
  <c r="R9" i="2"/>
  <c r="J9" i="2"/>
  <c r="AP8" i="2"/>
  <c r="AH8" i="2"/>
  <c r="Z8" i="2"/>
  <c r="R8" i="2"/>
  <c r="J8" i="2"/>
  <c r="AP7" i="2"/>
  <c r="AH7" i="2"/>
  <c r="Z7" i="2"/>
  <c r="R7" i="2"/>
  <c r="J7" i="2"/>
  <c r="AP6" i="2"/>
  <c r="AH6" i="2"/>
  <c r="Z6" i="2"/>
  <c r="R6" i="2"/>
  <c r="J6" i="2"/>
  <c r="Q6" i="2"/>
  <c r="AM9" i="2"/>
  <c r="AM8" i="2"/>
  <c r="AM7" i="2"/>
  <c r="G7" i="2"/>
  <c r="O6" i="2"/>
  <c r="AP54" i="2"/>
  <c r="Z48" i="2"/>
  <c r="Z36" i="2"/>
  <c r="J28" i="2"/>
  <c r="AI24" i="2"/>
  <c r="N22" i="2"/>
  <c r="V21" i="2"/>
  <c r="V20" i="2"/>
  <c r="AD19" i="2"/>
  <c r="AL18" i="2"/>
  <c r="F18" i="2"/>
  <c r="F17" i="2"/>
  <c r="N16" i="2"/>
  <c r="N15" i="2"/>
  <c r="F14" i="2"/>
  <c r="AD12" i="2"/>
  <c r="N11" i="2"/>
  <c r="F10" i="2"/>
  <c r="AD8" i="2"/>
  <c r="N7" i="2"/>
  <c r="F6" i="2"/>
  <c r="U58" i="2"/>
  <c r="Z55" i="2"/>
  <c r="AP53" i="2"/>
  <c r="R52" i="2"/>
  <c r="AH50" i="2"/>
  <c r="J49" i="2"/>
  <c r="Z47" i="2"/>
  <c r="AP42" i="2"/>
  <c r="R41" i="2"/>
  <c r="AH39" i="2"/>
  <c r="J37" i="2"/>
  <c r="Z35" i="2"/>
  <c r="AP32" i="2"/>
  <c r="R31" i="2"/>
  <c r="AH28" i="2"/>
  <c r="J27" i="2"/>
  <c r="G26" i="2"/>
  <c r="Z25" i="2"/>
  <c r="C25" i="2"/>
  <c r="W24" i="2"/>
  <c r="AP23" i="2"/>
  <c r="S23" i="2"/>
  <c r="AM22" i="2"/>
  <c r="Y22" i="2"/>
  <c r="Q22" i="2"/>
  <c r="I22" i="2"/>
  <c r="AO21" i="2"/>
  <c r="AG21" i="2"/>
  <c r="Y21" i="2"/>
  <c r="Q21" i="2"/>
  <c r="I21" i="2"/>
  <c r="AO20" i="2"/>
  <c r="AG20" i="2"/>
  <c r="Y20" i="2"/>
  <c r="Q20" i="2"/>
  <c r="I20" i="2"/>
  <c r="AO19" i="2"/>
  <c r="AG19" i="2"/>
  <c r="Y19" i="2"/>
  <c r="Q19" i="2"/>
  <c r="I19" i="2"/>
  <c r="AO18" i="2"/>
  <c r="AG18" i="2"/>
  <c r="Y18" i="2"/>
  <c r="Q18" i="2"/>
  <c r="I18" i="2"/>
  <c r="AO17" i="2"/>
  <c r="AG17" i="2"/>
  <c r="Y17" i="2"/>
  <c r="Q17" i="2"/>
  <c r="I17" i="2"/>
  <c r="AO16" i="2"/>
  <c r="AG16" i="2"/>
  <c r="Y16" i="2"/>
  <c r="Q16" i="2"/>
  <c r="I16" i="2"/>
  <c r="AO15" i="2"/>
  <c r="AG15" i="2"/>
  <c r="Y15" i="2"/>
  <c r="Q15" i="2"/>
  <c r="I15" i="2"/>
  <c r="AO14" i="2"/>
  <c r="AG14" i="2"/>
  <c r="Y14" i="2"/>
  <c r="Q14" i="2"/>
  <c r="I14" i="2"/>
  <c r="AO13" i="2"/>
  <c r="AG13" i="2"/>
  <c r="Y13" i="2"/>
  <c r="Q13" i="2"/>
  <c r="I13" i="2"/>
  <c r="AO12" i="2"/>
  <c r="AG12" i="2"/>
  <c r="Y12" i="2"/>
  <c r="Q12" i="2"/>
  <c r="I12" i="2"/>
  <c r="AO11" i="2"/>
  <c r="AG11" i="2"/>
  <c r="Y11" i="2"/>
  <c r="Q11" i="2"/>
  <c r="I11" i="2"/>
  <c r="AO10" i="2"/>
  <c r="AG10" i="2"/>
  <c r="Y10" i="2"/>
  <c r="Q10" i="2"/>
  <c r="I10" i="2"/>
  <c r="AO9" i="2"/>
  <c r="AG9" i="2"/>
  <c r="Y9" i="2"/>
  <c r="Q9" i="2"/>
  <c r="I9" i="2"/>
  <c r="AO8" i="2"/>
  <c r="AG8" i="2"/>
  <c r="Y8" i="2"/>
  <c r="Q8" i="2"/>
  <c r="I8" i="2"/>
  <c r="AO7" i="2"/>
  <c r="AG7" i="2"/>
  <c r="Y7" i="2"/>
  <c r="Q7" i="2"/>
  <c r="I7" i="2"/>
  <c r="AO6" i="2"/>
  <c r="AG6" i="2"/>
  <c r="Y6" i="2"/>
  <c r="I6" i="2"/>
  <c r="W9" i="2"/>
  <c r="AE8" i="2"/>
  <c r="G8" i="2"/>
  <c r="O7" i="2"/>
  <c r="W6" i="2"/>
  <c r="R53" i="2"/>
  <c r="AP46" i="2"/>
  <c r="J39" i="2"/>
  <c r="AH29" i="2"/>
  <c r="R25" i="2"/>
  <c r="K23" i="2"/>
  <c r="F22" i="2"/>
  <c r="N21" i="2"/>
  <c r="N20" i="2"/>
  <c r="V19" i="2"/>
  <c r="AD18" i="2"/>
  <c r="AL17" i="2"/>
  <c r="AL16" i="2"/>
  <c r="AL15" i="2"/>
  <c r="F15" i="2"/>
  <c r="N14" i="2"/>
  <c r="AL12" i="2"/>
  <c r="AL11" i="2"/>
  <c r="V10" i="2"/>
  <c r="F9" i="2"/>
  <c r="AL7" i="2"/>
  <c r="AM57" i="2"/>
  <c r="R55" i="2"/>
  <c r="AH53" i="2"/>
  <c r="J52" i="2"/>
  <c r="Z50" i="2"/>
  <c r="AP48" i="2"/>
  <c r="R47" i="2"/>
  <c r="AH42" i="2"/>
  <c r="J41" i="2"/>
  <c r="Z39" i="2"/>
  <c r="AP36" i="2"/>
  <c r="R35" i="2"/>
  <c r="AH32" i="2"/>
  <c r="J31" i="2"/>
  <c r="Z28" i="2"/>
  <c r="AP26" i="2"/>
  <c r="C26" i="2"/>
  <c r="W25" i="2"/>
  <c r="AP24" i="2"/>
  <c r="S24" i="2"/>
  <c r="AM23" i="2"/>
  <c r="R23" i="2"/>
  <c r="AI22" i="2"/>
  <c r="X22" i="2"/>
  <c r="P22" i="2"/>
  <c r="H22" i="2"/>
  <c r="AN21" i="2"/>
  <c r="AF21" i="2"/>
  <c r="X21" i="2"/>
  <c r="P21" i="2"/>
  <c r="H21" i="2"/>
  <c r="AN20" i="2"/>
  <c r="AF20" i="2"/>
  <c r="X20" i="2"/>
  <c r="P20" i="2"/>
  <c r="H20" i="2"/>
  <c r="AN19" i="2"/>
  <c r="AF19" i="2"/>
  <c r="X19" i="2"/>
  <c r="P19" i="2"/>
  <c r="H19" i="2"/>
  <c r="AN18" i="2"/>
  <c r="AF18" i="2"/>
  <c r="X18" i="2"/>
  <c r="P18" i="2"/>
  <c r="H18" i="2"/>
  <c r="AN17" i="2"/>
  <c r="AF17" i="2"/>
  <c r="X17" i="2"/>
  <c r="P17" i="2"/>
  <c r="H17" i="2"/>
  <c r="AN16" i="2"/>
  <c r="AF16" i="2"/>
  <c r="X16" i="2"/>
  <c r="P16" i="2"/>
  <c r="H16" i="2"/>
  <c r="AN15" i="2"/>
  <c r="AF15" i="2"/>
  <c r="X15" i="2"/>
  <c r="P15" i="2"/>
  <c r="H15" i="2"/>
  <c r="AN14" i="2"/>
  <c r="AF14" i="2"/>
  <c r="X14" i="2"/>
  <c r="P14" i="2"/>
  <c r="H14" i="2"/>
  <c r="AN13" i="2"/>
  <c r="AF13" i="2"/>
  <c r="X13" i="2"/>
  <c r="P13" i="2"/>
  <c r="H13" i="2"/>
  <c r="AN12" i="2"/>
  <c r="AF12" i="2"/>
  <c r="X12" i="2"/>
  <c r="P12" i="2"/>
  <c r="H12" i="2"/>
  <c r="AN11" i="2"/>
  <c r="AF11" i="2"/>
  <c r="X11" i="2"/>
  <c r="P11" i="2"/>
  <c r="H11" i="2"/>
  <c r="AN10" i="2"/>
  <c r="AF10" i="2"/>
  <c r="X10" i="2"/>
  <c r="P10" i="2"/>
  <c r="H10" i="2"/>
  <c r="AN9" i="2"/>
  <c r="AF9" i="2"/>
  <c r="X9" i="2"/>
  <c r="P9" i="2"/>
  <c r="H9" i="2"/>
  <c r="AN8" i="2"/>
  <c r="AF8" i="2"/>
  <c r="X8" i="2"/>
  <c r="P8" i="2"/>
  <c r="H8" i="2"/>
  <c r="AN7" i="2"/>
  <c r="AF7" i="2"/>
  <c r="X7" i="2"/>
  <c r="P7" i="2"/>
  <c r="H7" i="2"/>
  <c r="AN6" i="2"/>
  <c r="AF6" i="2"/>
  <c r="X6" i="2"/>
  <c r="P6" i="2"/>
  <c r="H6" i="2"/>
  <c r="W10" i="2"/>
  <c r="AE9" i="2"/>
  <c r="O9" i="2"/>
  <c r="W8" i="2"/>
  <c r="AE7" i="2"/>
  <c r="AM6" i="2"/>
  <c r="G6" i="2"/>
  <c r="AH51" i="2"/>
  <c r="AH40" i="2"/>
  <c r="R32" i="2"/>
  <c r="AM25" i="2"/>
  <c r="AH23" i="2"/>
  <c r="V22" i="2"/>
  <c r="AD21" i="2"/>
  <c r="AL20" i="2"/>
  <c r="AL19" i="2"/>
  <c r="F19" i="2"/>
  <c r="N18" i="2"/>
  <c r="N17" i="2"/>
  <c r="F16" i="2"/>
  <c r="AL14" i="2"/>
  <c r="AD13" i="2"/>
  <c r="V12" i="2"/>
  <c r="V11" i="2"/>
  <c r="N10" i="2"/>
  <c r="AL8" i="2"/>
  <c r="V7" i="2"/>
  <c r="N6" i="2"/>
  <c r="S57" i="2"/>
  <c r="J55" i="2"/>
  <c r="Z53" i="2"/>
  <c r="AP51" i="2"/>
  <c r="R50" i="2"/>
  <c r="AH48" i="2"/>
  <c r="J47" i="2"/>
  <c r="Z42" i="2"/>
  <c r="AP40" i="2"/>
  <c r="R39" i="2"/>
  <c r="AH36" i="2"/>
  <c r="J35" i="2"/>
  <c r="Z32" i="2"/>
  <c r="AP29" i="2"/>
  <c r="R28" i="2"/>
  <c r="AH26" i="2"/>
  <c r="AP25" i="2"/>
  <c r="S25" i="2"/>
  <c r="AM24" i="2"/>
  <c r="R24" i="2"/>
  <c r="AI23" i="2"/>
  <c r="O23" i="2"/>
  <c r="AH22" i="2"/>
  <c r="W22" i="2"/>
  <c r="O22" i="2"/>
  <c r="G22" i="2"/>
  <c r="AM21" i="2"/>
  <c r="AE21" i="2"/>
  <c r="W21" i="2"/>
  <c r="O21" i="2"/>
  <c r="G21" i="2"/>
  <c r="AM20" i="2"/>
  <c r="AE20" i="2"/>
  <c r="W20" i="2"/>
  <c r="O20" i="2"/>
  <c r="G20" i="2"/>
  <c r="AM19" i="2"/>
  <c r="AE19" i="2"/>
  <c r="W19" i="2"/>
  <c r="O19" i="2"/>
  <c r="G19" i="2"/>
  <c r="AM18" i="2"/>
  <c r="AE18" i="2"/>
  <c r="W18" i="2"/>
  <c r="O18" i="2"/>
  <c r="G18" i="2"/>
  <c r="AM17" i="2"/>
  <c r="AE17" i="2"/>
  <c r="W17" i="2"/>
  <c r="O17" i="2"/>
  <c r="G17" i="2"/>
  <c r="AM16" i="2"/>
  <c r="AE16" i="2"/>
  <c r="W16" i="2"/>
  <c r="O16" i="2"/>
  <c r="G16" i="2"/>
  <c r="AM15" i="2"/>
  <c r="AE15" i="2"/>
  <c r="W15" i="2"/>
  <c r="O15" i="2"/>
  <c r="G15" i="2"/>
  <c r="AM14" i="2"/>
  <c r="AE14" i="2"/>
  <c r="W14" i="2"/>
  <c r="O14" i="2"/>
  <c r="G14" i="2"/>
  <c r="AM13" i="2"/>
  <c r="AE13" i="2"/>
  <c r="W13" i="2"/>
  <c r="O13" i="2"/>
  <c r="G13" i="2"/>
  <c r="AM12" i="2"/>
  <c r="AE12" i="2"/>
  <c r="W12" i="2"/>
  <c r="O12" i="2"/>
  <c r="G12" i="2"/>
  <c r="AM11" i="2"/>
  <c r="AE11" i="2"/>
  <c r="W11" i="2"/>
  <c r="O11" i="2"/>
  <c r="G11" i="2"/>
  <c r="AM10" i="2"/>
  <c r="AE10" i="2"/>
  <c r="O10" i="2"/>
  <c r="G10" i="2"/>
  <c r="G9" i="2"/>
  <c r="O8" i="2"/>
  <c r="W7" i="2"/>
  <c r="AE6" i="2"/>
  <c r="AK56" i="2"/>
  <c r="J50" i="2"/>
  <c r="R42" i="2"/>
  <c r="AP34" i="2"/>
  <c r="Z26" i="2"/>
  <c r="O24" i="2"/>
  <c r="AE22" i="2"/>
  <c r="AL21" i="2"/>
  <c r="F21" i="2"/>
  <c r="F20" i="2"/>
  <c r="N19" i="2"/>
  <c r="V18" i="2"/>
  <c r="V17" i="2"/>
  <c r="AD16" i="2"/>
  <c r="AD15" i="2"/>
  <c r="AD14" i="2"/>
  <c r="F13" i="2"/>
  <c r="N12" i="2"/>
  <c r="AD10" i="2"/>
  <c r="AD9" i="2"/>
  <c r="F8" i="2"/>
  <c r="AL6" i="2"/>
  <c r="R56" i="2"/>
  <c r="AH54" i="2"/>
  <c r="J53" i="2"/>
  <c r="Z51" i="2"/>
  <c r="AP49" i="2"/>
  <c r="R48" i="2"/>
  <c r="AH46" i="2"/>
  <c r="J42" i="2"/>
  <c r="Z40" i="2"/>
  <c r="AP37" i="2"/>
  <c r="R36" i="2"/>
  <c r="AH34" i="2"/>
  <c r="J32" i="2"/>
  <c r="Z29" i="2"/>
  <c r="AP27" i="2"/>
  <c r="S26" i="2"/>
  <c r="AI25" i="2"/>
  <c r="O25" i="2"/>
  <c r="AH24" i="2"/>
  <c r="K24" i="2"/>
  <c r="AE23" i="2"/>
  <c r="J23" i="2"/>
  <c r="AC22" i="2"/>
  <c r="U22" i="2"/>
  <c r="M22" i="2"/>
  <c r="E22" i="2"/>
  <c r="AK21" i="2"/>
  <c r="AC21" i="2"/>
  <c r="U21" i="2"/>
  <c r="M21" i="2"/>
  <c r="E21" i="2"/>
  <c r="AK20" i="2"/>
  <c r="AC20" i="2"/>
  <c r="U20" i="2"/>
  <c r="M20" i="2"/>
  <c r="E20" i="2"/>
  <c r="AK19" i="2"/>
  <c r="AC19" i="2"/>
  <c r="U19" i="2"/>
  <c r="M19" i="2"/>
  <c r="E19" i="2"/>
  <c r="AK18" i="2"/>
  <c r="AC18" i="2"/>
  <c r="U18" i="2"/>
  <c r="M18" i="2"/>
  <c r="E18" i="2"/>
  <c r="AK17" i="2"/>
  <c r="AC17" i="2"/>
  <c r="U17" i="2"/>
  <c r="M17" i="2"/>
  <c r="E17" i="2"/>
  <c r="AK16" i="2"/>
  <c r="AC16" i="2"/>
  <c r="U16" i="2"/>
  <c r="M16" i="2"/>
  <c r="E16" i="2"/>
  <c r="AK15" i="2"/>
  <c r="AC15" i="2"/>
  <c r="U15" i="2"/>
  <c r="M15" i="2"/>
  <c r="E15" i="2"/>
  <c r="AK14" i="2"/>
  <c r="AC14" i="2"/>
  <c r="U14" i="2"/>
  <c r="M14" i="2"/>
  <c r="E14" i="2"/>
  <c r="AK13" i="2"/>
  <c r="AC13" i="2"/>
  <c r="U13" i="2"/>
  <c r="M13" i="2"/>
  <c r="E13" i="2"/>
  <c r="AK12" i="2"/>
  <c r="AC12" i="2"/>
  <c r="U12" i="2"/>
  <c r="M12" i="2"/>
  <c r="E12" i="2"/>
  <c r="AK11" i="2"/>
  <c r="AC11" i="2"/>
  <c r="U11" i="2"/>
  <c r="M11" i="2"/>
  <c r="E11" i="2"/>
  <c r="AK10" i="2"/>
  <c r="AC10" i="2"/>
  <c r="U10" i="2"/>
  <c r="M10" i="2"/>
  <c r="E10" i="2"/>
  <c r="AK9" i="2"/>
  <c r="AC9" i="2"/>
  <c r="U9" i="2"/>
  <c r="M9" i="2"/>
  <c r="E9" i="2"/>
  <c r="AK8" i="2"/>
  <c r="AC8" i="2"/>
  <c r="U8" i="2"/>
  <c r="M8" i="2"/>
  <c r="E8" i="2"/>
  <c r="AK7" i="2"/>
  <c r="AC7" i="2"/>
  <c r="U7" i="2"/>
  <c r="M7" i="2"/>
  <c r="E7" i="2"/>
  <c r="AK6" i="2"/>
  <c r="AC6" i="2"/>
  <c r="U6" i="2"/>
  <c r="M6" i="2"/>
  <c r="E6" i="2"/>
  <c r="L16" i="2"/>
  <c r="AB15" i="2"/>
  <c r="L15" i="2"/>
  <c r="AB14" i="2"/>
  <c r="L14" i="2"/>
  <c r="AJ13" i="2"/>
  <c r="T13" i="2"/>
  <c r="D13" i="2"/>
  <c r="AB12" i="2"/>
  <c r="L12" i="2"/>
  <c r="D12" i="2"/>
  <c r="AB11" i="2"/>
  <c r="L11" i="2"/>
  <c r="AJ10" i="2"/>
  <c r="T10" i="2"/>
  <c r="AJ9" i="2"/>
  <c r="AB9" i="2"/>
  <c r="L9" i="2"/>
  <c r="AJ8" i="2"/>
  <c r="T8" i="2"/>
  <c r="D8" i="2"/>
  <c r="AB7" i="2"/>
  <c r="L7" i="2"/>
  <c r="AJ6" i="2"/>
  <c r="T6" i="2"/>
  <c r="D6" i="2"/>
  <c r="V13" i="2"/>
  <c r="F11" i="2"/>
  <c r="AL9" i="2"/>
  <c r="V8" i="2"/>
  <c r="AD7" i="2"/>
  <c r="V6" i="2"/>
</calcChain>
</file>

<file path=xl/sharedStrings.xml><?xml version="1.0" encoding="utf-8"?>
<sst xmlns="http://schemas.openxmlformats.org/spreadsheetml/2006/main" count="860" uniqueCount="413">
  <si>
    <t>Revenue</t>
  </si>
  <si>
    <t>Gross Profit</t>
  </si>
  <si>
    <t>Cash &amp; Equivalents</t>
  </si>
  <si>
    <t>Reference Items</t>
  </si>
  <si>
    <t>Right click to show data transparency (not supported for all values)</t>
  </si>
  <si>
    <t>Amazon.com Inc (AMZN US) - Adjusted</t>
  </si>
  <si>
    <t>In Millions of USD except Per Share</t>
  </si>
  <si>
    <t>Q4 1998</t>
  </si>
  <si>
    <t>Q1 1999</t>
  </si>
  <si>
    <t>Q2 1999</t>
  </si>
  <si>
    <t>Q3 1999</t>
  </si>
  <si>
    <t>Q4 1999</t>
  </si>
  <si>
    <t>Q1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</si>
  <si>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</si>
  <si>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</si>
  <si>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</si>
  <si>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</si>
  <si>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</si>
  <si>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</si>
  <si>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</si>
  <si>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</si>
  <si>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</si>
  <si>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</si>
  <si>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</si>
  <si>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</si>
  <si>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</si>
  <si>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</si>
  <si>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</si>
  <si>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</si>
  <si>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</si>
  <si>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</si>
  <si>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</si>
  <si>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</si>
  <si>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</si>
  <si>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</si>
  <si>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</si>
  <si>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</si>
  <si>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</si>
  <si>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</si>
  <si>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</si>
  <si>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</si>
  <si>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</si>
  <si>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</si>
  <si>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</si>
  <si>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</si>
  <si>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</si>
  <si>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</si>
  <si>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3 Months Ending</t>
  </si>
  <si>
    <t>12/31/1998</t>
  </si>
  <si>
    <t>03/31/1999</t>
  </si>
  <si>
    <t>06/30/1999</t>
  </si>
  <si>
    <t>09/30/1999</t>
  </si>
  <si>
    <t>12/31/1999</t>
  </si>
  <si>
    <t>03/31/2000</t>
  </si>
  <si>
    <t>09/30/2000</t>
  </si>
  <si>
    <t>12/31/2000</t>
  </si>
  <si>
    <t>03/31/2001</t>
  </si>
  <si>
    <t>06/30/2001</t>
  </si>
  <si>
    <t>09/30/2001</t>
  </si>
  <si>
    <t>12/31/2001</t>
  </si>
  <si>
    <t>03/31/2002</t>
  </si>
  <si>
    <t>06/30/2002</t>
  </si>
  <si>
    <t>09/30/2002</t>
  </si>
  <si>
    <t>12/31/2002</t>
  </si>
  <si>
    <t>03/31/2003</t>
  </si>
  <si>
    <t>06/30/2003</t>
  </si>
  <si>
    <t>09/30/2003</t>
  </si>
  <si>
    <t>12/31/2003</t>
  </si>
  <si>
    <t>03/31/2004</t>
  </si>
  <si>
    <t>06/30/2004</t>
  </si>
  <si>
    <t>09/30/2004</t>
  </si>
  <si>
    <t>12/31/2004</t>
  </si>
  <si>
    <t>03/31/2005</t>
  </si>
  <si>
    <t>06/30/2005</t>
  </si>
  <si>
    <t>09/30/2005</t>
  </si>
  <si>
    <t>12/31/2005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</si>
  <si>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</si>
  <si>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</si>
  <si>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</si>
  <si>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</si>
  <si>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</si>
  <si>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</si>
  <si>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</si>
  <si>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</si>
  <si>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</si>
  <si>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</si>
  <si>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</si>
  <si>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</si>
  <si>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SALES_REV_TURN</t>
  </si>
  <si>
    <t xml:space="preserve">  - Cost of Revenue</t>
  </si>
  <si>
    <t>IS_COGS_TO_FE_AND_PP_AND_G</t>
  </si>
  <si>
    <t>GROSS_PROFIT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</si>
  <si>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</si>
  <si>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</si>
  <si>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</si>
  <si>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</si>
  <si>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Selling &amp; Marketing</t>
  </si>
  <si>
    <t>IS_SELLING_EXPENSES</t>
  </si>
  <si>
    <t>Operating Income (Loss)</t>
  </si>
  <si>
    <t>IS_OPER_INC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</si>
  <si>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</si>
  <si>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</si>
  <si>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</si>
  <si>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</si>
  <si>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</si>
  <si>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</si>
  <si>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</si>
  <si>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</si>
  <si>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>Pretax Income (Loss), Adjusted</t>
  </si>
  <si>
    <t>PRETAX_INC</t>
  </si>
  <si>
    <t xml:space="preserve">  - Abnormal Losses (Gains)</t>
  </si>
  <si>
    <t>IS_ABNORMAL_ITEM</t>
  </si>
  <si>
    <t xml:space="preserve">    + Impairment of Goodwill</t>
  </si>
  <si>
    <t>IS_IMPAIRMENT_GOODWILL_INTANGIBL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</si>
  <si>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</si>
  <si>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</si>
  <si>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</si>
  <si>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</si>
  <si>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</si>
  <si>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</si>
  <si>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</si>
  <si>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</si>
  <si>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</si>
  <si>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</si>
  <si>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</si>
  <si>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</si>
  <si>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</si>
  <si>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</si>
  <si>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</si>
  <si>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</si>
  <si>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</si>
  <si>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</si>
  <si>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</si>
  <si>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</si>
  <si>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</si>
  <si>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</si>
  <si>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</si>
  <si>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</si>
  <si>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</si>
  <si>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</si>
  <si>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</si>
  <si>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</si>
  <si>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</si>
  <si>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</si>
  <si>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</si>
  <si>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</si>
  <si>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</si>
  <si>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</si>
  <si>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</si>
  <si>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</si>
  <si>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</si>
  <si>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</si>
  <si>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</si>
  <si>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</si>
  <si>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</si>
  <si>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</si>
  <si>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</si>
  <si>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</si>
  <si>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</si>
  <si>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</si>
  <si>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</si>
  <si>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</si>
  <si>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</si>
  <si>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</si>
  <si>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</si>
  <si>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</si>
  <si>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</si>
  <si>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</si>
  <si>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</si>
  <si>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</si>
  <si>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</si>
  <si>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Capitalized Interest Expense</t>
  </si>
  <si>
    <t>IS_CAP_INT_EXP</t>
  </si>
  <si>
    <t>Depreciation Expense</t>
  </si>
  <si>
    <t>IS_DEPR_EXP</t>
  </si>
  <si>
    <t>Rental Expense</t>
  </si>
  <si>
    <t>BS_CURR_RENTAL_EXPENSE</t>
  </si>
  <si>
    <t>Source: Bloomberg</t>
  </si>
  <si>
    <t>Amazon.com Inc (AMZN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</si>
  <si>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</si>
  <si>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</si>
  <si>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</si>
  <si>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</si>
  <si>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</si>
  <si>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</si>
  <si>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</si>
  <si>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</si>
  <si>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</si>
  <si>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</si>
  <si>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</si>
  <si>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</si>
  <si>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</si>
  <si>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</si>
  <si>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</si>
  <si>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</si>
  <si>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</si>
  <si>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</si>
  <si>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</si>
  <si>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</si>
  <si>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</si>
  <si>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</si>
  <si>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</si>
  <si>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</si>
  <si>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</si>
  <si>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</si>
  <si>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</si>
  <si>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</si>
  <si>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</si>
  <si>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</si>
  <si>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</si>
  <si>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</si>
  <si>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</si>
  <si>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</si>
  <si>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</si>
  <si>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</si>
  <si>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</si>
  <si>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</si>
  <si>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</si>
  <si>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</si>
  <si>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</si>
  <si>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</si>
  <si>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</si>
  <si>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</si>
  <si>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</si>
  <si>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</si>
  <si>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</si>
  <si>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</si>
  <si>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</si>
  <si>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</si>
  <si>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</si>
  <si>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+ ST Debt</t>
  </si>
  <si>
    <t>BS_ST_BORROW</t>
  </si>
  <si>
    <t xml:space="preserve">    + ST Borrowings</t>
  </si>
  <si>
    <t>SHORT_TERM_DEBT_DETAILED</t>
  </si>
  <si>
    <t xml:space="preserve">    + ST Capital Leases</t>
  </si>
  <si>
    <t>ST_CAPITAL_LEASE_OBLIGATIONS</t>
  </si>
  <si>
    <t xml:space="preserve">  + Other ST Liabilities</t>
  </si>
  <si>
    <t>OTHER_CURRENT_LIABS_SUB_DETAILED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</si>
  <si>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</si>
  <si>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</si>
  <si>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</si>
  <si>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</si>
  <si>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</si>
  <si>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</si>
  <si>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</si>
  <si>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</si>
  <si>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Capital Leases</t>
  </si>
  <si>
    <t>LT_CAPITAL_LEASE_OBLIGATIONS</t>
  </si>
  <si>
    <t xml:space="preserve">  + Other LT Liabilities</t>
  </si>
  <si>
    <t>OTHER_NONCUR_LIABS_SUB_DETAILED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</si>
  <si>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</si>
  <si>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</si>
  <si>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</si>
  <si>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</si>
  <si>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</si>
  <si>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</si>
  <si>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</si>
  <si>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</si>
  <si>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</si>
  <si>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</si>
  <si>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</si>
  <si>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</si>
  <si>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</si>
  <si>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</si>
  <si>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</si>
  <si>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</si>
  <si>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</si>
  <si>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</si>
  <si>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</si>
  <si>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</si>
  <si>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</si>
  <si>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</si>
  <si>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</si>
  <si>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</si>
  <si>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</si>
  <si>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</si>
  <si>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</si>
  <si>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</si>
  <si>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</si>
  <si>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</si>
  <si>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</si>
  <si>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</si>
  <si>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</si>
  <si>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</si>
  <si>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</si>
  <si>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</si>
  <si>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</si>
  <si>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</si>
  <si>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</si>
  <si>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</si>
  <si>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</si>
  <si>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</si>
  <si>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</si>
  <si>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</si>
  <si>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</si>
  <si>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</si>
  <si>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</si>
  <si>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</si>
  <si>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Q2 2000</t>
  </si>
  <si>
    <t>06/30/2000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</si>
  <si>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</si>
  <si>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</si>
  <si>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</si>
  <si>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</si>
  <si>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</si>
  <si>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</si>
  <si>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</si>
  <si>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</si>
  <si>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</si>
  <si>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</si>
  <si>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</si>
  <si>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</si>
  <si>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</si>
  <si>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</si>
  <si>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</si>
  <si>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</si>
  <si>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</si>
  <si>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</si>
  <si>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</si>
  <si>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</si>
  <si>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</si>
  <si>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</si>
  <si>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</si>
  <si>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</si>
  <si>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</si>
  <si>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</si>
  <si>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</si>
  <si>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</si>
  <si>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</si>
  <si>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Acq of Fixed &amp; Intang</t>
  </si>
  <si>
    <t>ACQUIS_FXD_&amp;_INTANG_DETAILED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</si>
  <si>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</si>
  <si>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</si>
  <si>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</si>
  <si>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</si>
  <si>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</si>
  <si>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</si>
  <si>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Other Investing Activities</t>
  </si>
  <si>
    <t>OTHER_INVESTING_ACT_DETAILED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</si>
  <si>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</si>
  <si>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</si>
  <si>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</si>
  <si>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</si>
  <si>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</si>
  <si>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</si>
  <si>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</si>
  <si>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</si>
  <si>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</si>
  <si>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</si>
  <si>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</si>
  <si>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</si>
  <si>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>CFF_ACTIVITIES_DETAILED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</si>
  <si>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</si>
  <si>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</si>
  <si>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</si>
  <si>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</si>
  <si>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</si>
  <si>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</si>
  <si>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</si>
  <si>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</si>
  <si>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</si>
  <si>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</si>
  <si>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</si>
  <si>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</si>
  <si>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</si>
  <si>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</si>
  <si>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</si>
  <si>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</si>
  <si>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</si>
  <si>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</si>
  <si>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</si>
  <si>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</si>
  <si>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</si>
  <si>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</si>
  <si>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</si>
  <si>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Amazon.com Inc (AMZN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</si>
  <si>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</si>
  <si>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</si>
  <si>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</si>
  <si>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</si>
  <si>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</si>
  <si>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</si>
  <si>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</si>
  <si>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</si>
  <si>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</si>
  <si>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</si>
  <si>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</si>
  <si>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</si>
  <si>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</si>
  <si>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</si>
  <si>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</si>
  <si>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</si>
  <si>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</si>
  <si>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</si>
  <si>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Tangible Book Value</t>
  </si>
  <si>
    <t>TANG_BOOK_VAL_PER_SH</t>
  </si>
  <si>
    <t>Amazon.com Inc (AMZN US) - Stock Value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</si>
  <si>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</si>
  <si>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</si>
  <si>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</si>
  <si>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</si>
  <si>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</si>
  <si>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</si>
  <si>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</si>
  <si>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</si>
  <si>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</si>
  <si>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</si>
  <si>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</si>
  <si>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</si>
  <si>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</si>
  <si>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</si>
  <si>
    <t xml:space="preserve">  Equity Float</t>
  </si>
  <si>
    <t>EQY_FLOAT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</si>
</sst>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</cellStyleXfs>
  <cellXfs count="2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4" fontId="8" fillId="34" borderId="2" xfId="58" applyNumberFormat="1" applyFont="1" applyFill="1" applyBorder="1" applyAlignment="1" applyProtection="1">
      <alignment horizontal="right"/>
    </xf>
    <xf numFmtId="171" fontId="11" fillId="34" borderId="2" xfId="59" applyNumberFormat="1" applyFont="1" applyFill="1" applyBorder="1" applyAlignment="1" applyProtection="1">
      <alignment horizontal="right"/>
    </xf>
    <xf numFmtId="4" fontId="11" fillId="34" borderId="2" xfId="60" applyNumberFormat="1" applyFont="1" applyFill="1" applyBorder="1" applyAlignment="1" applyProtection="1">
      <alignment horizontal="right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6"/>
    <cellStyle name="fa_data_bold_1_grouped" xfId="57"/>
    <cellStyle name="fa_data_bold_2_grouped" xfId="58"/>
    <cellStyle name="fa_data_italic_1_grouped" xfId="59"/>
    <cellStyle name="fa_data_italic_2_grouped" xfId="60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—</v>
        <stp/>
        <stp>##V3_BDHV12</stp>
        <stp>AMZN US Equity</stp>
        <stp>CASH_CONVERSION_CYCLE</stp>
        <stp>FQ3 2000</stp>
        <stp>FQ3 2000</stp>
        <stp>[FA1_j2ahgkxc.xlsx]Bal Sheet - Standardized!R69C9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69" s="3"/>
      </tp>
      <tp t="s">
        <v>—</v>
        <stp/>
        <stp>##V3_BDHV12</stp>
        <stp>AMZN US Equity</stp>
        <stp>CASH_CONVERSION_CYCLE</stp>
        <stp>FQ3 1999</stp>
        <stp>FQ3 1999</stp>
        <stp>[FA1_j2ahgkxc.xlsx]Bal Sheet - Standardized!R69C6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69" s="3"/>
      </tp>
      <tp>
        <v>9.9499999999999993</v>
        <stp/>
        <stp>##V3_BDHV12</stp>
        <stp>AMZN US Equity</stp>
        <stp>IS_INT_INC</stp>
        <stp>FQ1 2001</stp>
        <stp>FQ1 2001</stp>
        <stp>[FA1_j2ahgkxc.xlsx]Income - Adjusted!R15C11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5" s="2"/>
      </tp>
      <tp>
        <v>5.3109999999999999</v>
        <stp/>
        <stp>##V3_BDHV12</stp>
        <stp>AMZN US Equity</stp>
        <stp>IS_INT_INC</stp>
        <stp>FQ2 2004</stp>
        <stp>FQ2 2004</stp>
        <stp>[FA1_j2ahgkxc.xlsx]Income - Adjusted!R15C24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5" s="2"/>
      </tp>
      <tp>
        <v>23</v>
        <stp/>
        <stp>##V3_BDHV12</stp>
        <stp>AMZN US Equity</stp>
        <stp>IS_INT_INC</stp>
        <stp>FQ3 2007</stp>
        <stp>FQ3 2007</stp>
        <stp>[FA1_j2ahgkxc.xlsx]Income - Adjusted!R15C37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5" s="2"/>
      </tp>
      <tp t="s">
        <v>—</v>
        <stp/>
        <stp>##V3_BDHV12</stp>
        <stp>AMZN US Equity</stp>
        <stp>IS_INT_INC</stp>
        <stp>FQ4 2000</stp>
        <stp>FQ4 2000</stp>
        <stp>[FA1_j2ahgkxc.xlsx]Income - Adjusted!R15C10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5" s="2"/>
      </tp>
      <tp>
        <v>0</v>
        <stp/>
        <stp>##V3_BDHV12</stp>
        <stp>AMZN US Equity</stp>
        <stp>OTHER_ADJUSTMENTS</stp>
        <stp>FQ2 2003</stp>
        <stp>FQ2 2003</stp>
        <stp>[FA1_j2ahgkxc.xlsx]Income - Adjusted!R28C20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2"/>
      </tp>
      <tp>
        <v>0</v>
        <stp/>
        <stp>##V3_BDHV12</stp>
        <stp>AMZN US Equity</stp>
        <stp>OTHER_ADJUSTMENTS</stp>
        <stp>FQ3 2001</stp>
        <stp>FQ3 2001</stp>
        <stp>[FA1_j2ahgkxc.xlsx]Income - Adjusted!R28C13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2"/>
      </tp>
      <tp>
        <v>170.02600000000001</v>
        <stp/>
        <stp>##V3_BDHV12</stp>
        <stp>AMZN US Equity</stp>
        <stp>IS_OPERATING_EXPN</stp>
        <stp>FQ4 1999</stp>
        <stp>FQ4 1999</stp>
        <stp>[FA1_j2ahgkxc.xlsx]Income - Adjusted!R9C7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>
        <v>0</v>
        <stp/>
        <stp>##V3_BDHV12</stp>
        <stp>AMZN US Equity</stp>
        <stp>OTHER_ADJUSTMENTS</stp>
        <stp>FQ1 2003</stp>
        <stp>FQ1 2003</stp>
        <stp>[FA1_j2ahgkxc.xlsx]Income - Adjusted!R28C19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2"/>
      </tp>
      <tp>
        <v>-13.858599999999999</v>
        <stp/>
        <stp>##V3_BDHV12</stp>
        <stp>AMZN US Equity</stp>
        <stp>TCE_RATIO</stp>
        <stp>FQ4 1999</stp>
        <stp>FQ4 1999</stp>
        <stp>[FA1_j2ahgkxc.xlsx]Bal Sheet - Standardized!R67C7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7" s="3"/>
      </tp>
      <tp>
        <v>4.3426</v>
        <stp/>
        <stp>##V3_BDHV12</stp>
        <stp>AMZN US Equity</stp>
        <stp>CASH_ST_INVESTMENTS_PER_SH</stp>
        <stp>FQ4 2004</stp>
        <stp>FQ4 2004</stp>
        <stp>[FA1_j2ahgkxc.xlsx]Per Share!R25C26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5" s="5"/>
      </tp>
      <tp>
        <v>4.8768000000000002</v>
        <stp/>
        <stp>##V3_BDHV12</stp>
        <stp>AMZN US Equity</stp>
        <stp>CASH_ST_INVESTMENTS_PER_SH</stp>
        <stp>FQ4 2006</stp>
        <stp>FQ4 2006</stp>
        <stp>[FA1_j2ahgkxc.xlsx]Per Share!R25C34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5" s="5"/>
      </tp>
      <tp>
        <v>2.8005</v>
        <stp/>
        <stp>##V3_BDHV12</stp>
        <stp>AMZN US Equity</stp>
        <stp>CASH_ST_INVESTMENTS_PER_SH</stp>
        <stp>FQ1 2005</stp>
        <stp>FQ1 2005</stp>
        <stp>[FA1_j2ahgkxc.xlsx]Per Share!R25C27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5" s="5"/>
      </tp>
      <tp>
        <v>3.4718999999999998</v>
        <stp/>
        <stp>##V3_BDHV12</stp>
        <stp>AMZN US Equity</stp>
        <stp>CASH_ST_INVESTMENTS_PER_SH</stp>
        <stp>FQ1 2007</stp>
        <stp>FQ1 2007</stp>
        <stp>[FA1_j2ahgkxc.xlsx]Per Share!R25C35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5" s="5"/>
      </tp>
      <tp>
        <v>2.6588000000000003</v>
        <stp/>
        <stp>##V3_BDHV12</stp>
        <stp>AMZN US Equity</stp>
        <stp>CASH_ST_INVESTMENTS_PER_SH</stp>
        <stp>FQ3 2003</stp>
        <stp>FQ3 2003</stp>
        <stp>[FA1_j2ahgkxc.xlsx]Per Share!R25C21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5" s="5"/>
      </tp>
      <tp>
        <v>1.7970999999999999</v>
        <stp/>
        <stp>##V3_BDHV12</stp>
        <stp>AMZN US Equity</stp>
        <stp>CASH_ST_INVESTMENTS_PER_SH</stp>
        <stp>FQ3 2001</stp>
        <stp>FQ3 2001</stp>
        <stp>[FA1_j2ahgkxc.xlsx]Per Share!R25C13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5" s="5"/>
      </tp>
      <tp t="s">
        <v>—</v>
        <stp/>
        <stp>##V3_BDHV12</stp>
        <stp>AMZN US Equity</stp>
        <stp>EBITA</stp>
        <stp>FQ4 1999</stp>
        <stp>FQ4 1999</stp>
        <stp>[FA1_j2ahgkxc.xlsx]Income - Adjusted!R48C7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8" s="2"/>
      </tp>
      <tp t="s">
        <v>—</v>
        <stp/>
        <stp>##V3_BDHV12</stp>
        <stp>AMZN US Equity</stp>
        <stp>BS_ACCUM_DEPR</stp>
        <stp>FQ2 2008</stp>
        <stp>FQ2 2008</stp>
        <stp>[FA1_j2ahgkxc.xlsx]Bal Sheet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3"/>
      </tp>
      <tp>
        <v>147.453</v>
        <stp/>
        <stp>##V3_BDHV12</stp>
        <stp>AMZN US Equity</stp>
        <stp>BS_ACCUM_DEPR</stp>
        <stp>FQ4 2003</stp>
        <stp>FQ4 2003</stp>
        <stp>[FA1_j2ahgkxc.xlsx]Bal Sheet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3"/>
      </tp>
      <tp>
        <v>176.80699999999999</v>
        <stp/>
        <stp>##V3_BDHV12</stp>
        <stp>AMZN US Equity</stp>
        <stp>BS_ACCUM_DEPR</stp>
        <stp>FQ4 2004</stp>
        <stp>FQ4 2004</stp>
        <stp>[FA1_j2ahgkxc.xlsx]Bal Sheet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3"/>
      </tp>
      <tp>
        <v>0</v>
        <stp/>
        <stp>##V3_BDHV12</stp>
        <stp>AMZN US Equity</stp>
        <stp>IS_ABNORMAL_ITEM</stp>
        <stp>FQ4 2008</stp>
        <stp>FQ4 2008</stp>
        <stp>[FA1_j2ahgkxc.xlsx]Income - Adjusted!R18C42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2"/>
      </tp>
      <tp t="s">
        <v>—</v>
        <stp/>
        <stp>##V3_BDHV12</stp>
        <stp>AMZN US Equity</stp>
        <stp>IS_IMPAIRMENT_GOODWILL_INTANGIBL</stp>
        <stp>FQ3 2008</stp>
        <stp>FQ3 2008</stp>
        <stp>[FA1_j2ahgkxc.xlsx]Income - Adjusted!R19C41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9" s="2"/>
      </tp>
      <tp>
        <v>-308.42500000000001</v>
        <stp/>
        <stp>##V3_BDHV12</stp>
        <stp>AMZN US Equity</stp>
        <stp>PRETAX_INC</stp>
        <stp>FQ1 2000</stp>
        <stp>FQ1 2000</stp>
        <stp>[FA1_j2ahgkxc.xlsx]Income - Adjusted!R17C8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7" s="2"/>
      </tp>
      <tp t="s">
        <v>—</v>
        <stp/>
        <stp>##V3_BDHV12</stp>
        <stp>AMZN US Equity</stp>
        <stp>BS_FUTURE_MIN_OPER_LEASE_OBLIG</stp>
        <stp>FQ1 2000</stp>
        <stp>FQ1 2000</stp>
        <stp>[FA1_j2ahgkxc.xlsx]Bal Sheet - Standardized!R61C8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1" s="3"/>
      </tp>
      <tp t="s">
        <v>—</v>
        <stp/>
        <stp>##V3_BDHV12</stp>
        <stp>AMZN US Equity</stp>
        <stp>BS_FUTURE_MIN_OPER_LEASE_OBLIG</stp>
        <stp>FQ3 2000</stp>
        <stp>FQ3 2000</stp>
        <stp>[FA1_j2ahgkxc.xlsx]Bal Sheet - Standardized!R61C9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1" s="3"/>
      </tp>
      <tp>
        <v>426.83690000000001</v>
        <stp/>
        <stp>##V3_BDHV12</stp>
        <stp>AMZN US Equity</stp>
        <stp>GROSS_PROFIT</stp>
        <stp>FQ4 2003</stp>
        <stp>FQ4 2003</stp>
        <stp>[FA1_j2ahgkxc.xlsx]Income - Adjusted!R8C22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1065.9580000000001</v>
        <stp/>
        <stp>##V3_BDHV12</stp>
        <stp>AMZN US Equity</stp>
        <stp>BS_CUR_LIAB</stp>
        <stp>FQ4 2002</stp>
        <stp>FQ4 2002</stp>
        <stp>[FA1_j2ahgkxc.xlsx]Bal Sheet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3"/>
      </tp>
      <tp>
        <v>921.41399999999999</v>
        <stp/>
        <stp>##V3_BDHV12</stp>
        <stp>AMZN US Equity</stp>
        <stp>BS_CUR_LIAB</stp>
        <stp>FQ4 2001</stp>
        <stp>FQ4 2001</stp>
        <stp>[FA1_j2ahgkxc.xlsx]Bal Sheet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3"/>
      </tp>
      <tp>
        <v>0</v>
        <stp/>
        <stp>##V3_BDHV12</stp>
        <stp>AMZN US Equity</stp>
        <stp>XO_GL_NET_OF_TAX</stp>
        <stp>FQ4 1998</stp>
        <stp>FQ4 1998</stp>
        <stp>[FA1_j2ahgkxc.xlsx]Income - Adjusted!R23C3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2"/>
      </tp>
      <tp>
        <v>0</v>
        <stp/>
        <stp>##V3_BDHV12</stp>
        <stp>AMZN US Equity</stp>
        <stp>XO_GL_NET_OF_TAX</stp>
        <stp>FQ4 1998</stp>
        <stp>FQ4 1998</stp>
        <stp>[FA1_j2ahgkxc.xlsx]Income - Adjusted!R32C3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2"/>
      </tp>
      <tp>
        <v>0</v>
        <stp/>
        <stp>##V3_BDHV12</stp>
        <stp>AMZN US Equity</stp>
        <stp>XO_GL_NET_OF_TAX</stp>
        <stp>FQ4 1999</stp>
        <stp>FQ4 1999</stp>
        <stp>[FA1_j2ahgkxc.xlsx]Income - Adjusted!R32C7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2"/>
      </tp>
      <tp>
        <v>0</v>
        <stp/>
        <stp>##V3_BDHV12</stp>
        <stp>AMZN US Equity</stp>
        <stp>XO_GL_NET_OF_TAX</stp>
        <stp>FQ4 1999</stp>
        <stp>FQ4 1999</stp>
        <stp>[FA1_j2ahgkxc.xlsx]Income - Adjusted!R23C7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2"/>
      </tp>
      <tp>
        <v>974.95600000000002</v>
        <stp/>
        <stp>##V3_BDHV12</stp>
        <stp>AMZN US Equity</stp>
        <stp>BS_CUR_LIAB</stp>
        <stp>FQ4 2000</stp>
        <stp>FQ4 2000</stp>
        <stp>[FA1_j2ahgkxc.xlsx]Bal Sheet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3"/>
      </tp>
      <tp t="s">
        <v>—</v>
        <stp/>
        <stp>##V3_BDHV12</stp>
        <stp>AMZN US Equity</stp>
        <stp>CASH_CONVERSION_CYCLE</stp>
        <stp>FQ2 1999</stp>
        <stp>FQ2 1999</stp>
        <stp>[FA1_j2ahgkxc.xlsx]Bal Sheet - Standardized!R69C5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69" s="3"/>
      </tp>
      <tp>
        <v>26</v>
        <stp/>
        <stp>##V3_BDHV12</stp>
        <stp>AMZN US Equity</stp>
        <stp>IS_INT_INC</stp>
        <stp>FQ1 2008</stp>
        <stp>FQ1 2008</stp>
        <stp>[FA1_j2ahgkxc.xlsx]Income - Adjusted!R15C39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5" s="2"/>
      </tp>
      <tp>
        <v>20</v>
        <stp/>
        <stp>##V3_BDHV12</stp>
        <stp>AMZN US Equity</stp>
        <stp>IS_INT_INC</stp>
        <stp>FQ2 2007</stp>
        <stp>FQ2 2007</stp>
        <stp>[FA1_j2ahgkxc.xlsx]Income - Adjusted!R15C36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5" s="2"/>
      </tp>
      <tp>
        <v>7.5529999999999999</v>
        <stp/>
        <stp>##V3_BDHV12</stp>
        <stp>AMZN US Equity</stp>
        <stp>IS_INT_INC</stp>
        <stp>FQ3 2004</stp>
        <stp>FQ3 2004</stp>
        <stp>[FA1_j2ahgkxc.xlsx]Income - Adjusted!R15C25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5" s="2"/>
      </tp>
      <tp>
        <v>5.33</v>
        <stp/>
        <stp>##V3_BDHV12</stp>
        <stp>AMZN US Equity</stp>
        <stp>IS_INT_INC</stp>
        <stp>FQ4 2003</stp>
        <stp>FQ4 2003</stp>
        <stp>[FA1_j2ahgkxc.xlsx]Income - Adjusted!R15C22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5" s="2"/>
      </tp>
      <tp>
        <v>0</v>
        <stp/>
        <stp>##V3_BDHV12</stp>
        <stp>AMZN US Equity</stp>
        <stp>OTHER_ADJUSTMENTS</stp>
        <stp>FQ2 2001</stp>
        <stp>FQ2 2001</stp>
        <stp>[FA1_j2ahgkxc.xlsx]Income - Adjusted!R28C12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2"/>
      </tp>
      <tp>
        <v>0</v>
        <stp/>
        <stp>##V3_BDHV12</stp>
        <stp>AMZN US Equity</stp>
        <stp>OTHER_ADJUSTMENTS</stp>
        <stp>FQ3 2003</stp>
        <stp>FQ3 2003</stp>
        <stp>[FA1_j2ahgkxc.xlsx]Income - Adjusted!R28C21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2"/>
      </tp>
      <tp>
        <v>0</v>
        <stp/>
        <stp>##V3_BDHV12</stp>
        <stp>AMZN US Equity</stp>
        <stp>OTHER_ADJUSTMENTS</stp>
        <stp>FQ4 2004</stp>
        <stp>FQ4 2004</stp>
        <stp>[FA1_j2ahgkxc.xlsx]Income - Adjusted!R28C26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2"/>
      </tp>
      <tp>
        <v>0</v>
        <stp/>
        <stp>##V3_BDHV12</stp>
        <stp>AMZN US Equity</stp>
        <stp>OTHER_ADJUSTMENTS</stp>
        <stp>FQ4 2005</stp>
        <stp>FQ4 2005</stp>
        <stp>[FA1_j2ahgkxc.xlsx]Income - Adjusted!R28C30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2"/>
      </tp>
      <tp>
        <v>0</v>
        <stp/>
        <stp>##V3_BDHV12</stp>
        <stp>AMZN US Equity</stp>
        <stp>OTHER_ADJUSTMENTS</stp>
        <stp>FQ1 2002</stp>
        <stp>FQ1 2002</stp>
        <stp>[FA1_j2ahgkxc.xlsx]Income - Adjusted!R28C15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2"/>
      </tp>
      <tp>
        <v>1.6813</v>
        <stp/>
        <stp>##V3_BDHV12</stp>
        <stp>AMZN US Equity</stp>
        <stp>CASH_ST_INVESTMENTS_PER_SH</stp>
        <stp>FQ2 2001</stp>
        <stp>FQ2 2001</stp>
        <stp>[FA1_j2ahgkxc.xlsx]Per Share!R25C12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5" s="5"/>
      </tp>
      <tp>
        <v>2.4923000000000002</v>
        <stp/>
        <stp>##V3_BDHV12</stp>
        <stp>AMZN US Equity</stp>
        <stp>CASH_ST_INVESTMENTS_PER_SH</stp>
        <stp>FQ2 2003</stp>
        <stp>FQ2 2003</stp>
        <stp>[FA1_j2ahgkxc.xlsx]Per Share!R25C20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5" s="5"/>
      </tp>
      <tp t="s">
        <v>—</v>
        <stp/>
        <stp>##V3_BDHV12</stp>
        <stp>AMZN US Equity</stp>
        <stp>BS_ACCUM_DEPR</stp>
        <stp>FQ3 2008</stp>
        <stp>FQ3 2008</stp>
        <stp>[FA1_j2ahgkxc.xlsx]Bal Sheet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3"/>
      </tp>
      <tp>
        <v>202.42500000000001</v>
        <stp/>
        <stp>##V3_BDHV12</stp>
        <stp>AMZN US Equity</stp>
        <stp>INVTRY_FINISHED_GOODS</stp>
        <stp>FQ4 2002</stp>
        <stp>FQ4 2002</stp>
        <stp>[FA1_j2ahgkxc.xlsx]Bal Sheet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3"/>
      </tp>
      <tp>
        <v>480</v>
        <stp/>
        <stp>##V3_BDHV12</stp>
        <stp>AMZN US Equity</stp>
        <stp>BS_ACCUM_DEPR</stp>
        <stp>FQ4 2007</stp>
        <stp>FQ4 2007</stp>
        <stp>[FA1_j2ahgkxc.xlsx]Bal Sheet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3"/>
      </tp>
      <tp>
        <v>174.56299999999999</v>
        <stp/>
        <stp>##V3_BDHV12</stp>
        <stp>AMZN US Equity</stp>
        <stp>INVTRY_FINISHED_GOODS</stp>
        <stp>FQ4 2000</stp>
        <stp>FQ4 2000</stp>
        <stp>[FA1_j2ahgkxc.xlsx]Bal Sheet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3"/>
      </tp>
      <tp>
        <v>223</v>
        <stp/>
        <stp>##V3_BDHV12</stp>
        <stp>AMZN US Equity</stp>
        <stp>BS_ACCUM_DEPR</stp>
        <stp>FQ4 2005</stp>
        <stp>FQ4 2005</stp>
        <stp>[FA1_j2ahgkxc.xlsx]Bal Sheet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3"/>
      </tp>
      <tp>
        <v>143.72200000000001</v>
        <stp/>
        <stp>##V3_BDHV12</stp>
        <stp>AMZN US Equity</stp>
        <stp>INVTRY_FINISHED_GOODS</stp>
        <stp>FQ4 2001</stp>
        <stp>FQ4 2001</stp>
        <stp>[FA1_j2ahgkxc.xlsx]Bal Sheet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3"/>
      </tp>
      <tp>
        <v>367</v>
        <stp/>
        <stp>##V3_BDHV12</stp>
        <stp>AMZN US Equity</stp>
        <stp>BS_ACCUM_DEPR</stp>
        <stp>FQ4 2006</stp>
        <stp>FQ4 2006</stp>
        <stp>[FA1_j2ahgkxc.xlsx]Bal Sheet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3"/>
      </tp>
      <tp>
        <v>0</v>
        <stp/>
        <stp>##V3_BDHV12</stp>
        <stp>AMZN US Equity</stp>
        <stp>IS_INC_TAX_EXP</stp>
        <stp>FQ4 1999</stp>
        <stp>FQ4 1999</stp>
        <stp>[FA1_j2ahgkxc.xlsx]Income - Adjusted!R21C7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1" s="2"/>
      </tp>
      <tp t="s">
        <v>—</v>
        <stp/>
        <stp>##V3_BDHV12</stp>
        <stp>AMZN US Equity</stp>
        <stp>IS_IMPAIRMENT_GOODWILL_INTANGIBL</stp>
        <stp>FQ2 2008</stp>
        <stp>FQ2 2008</stp>
        <stp>[FA1_j2ahgkxc.xlsx]Income - Adjusted!R19C40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9" s="2"/>
      </tp>
      <tp t="s">
        <v>—</v>
        <stp/>
        <stp>##V3_BDHV12</stp>
        <stp>AMZN US Equity</stp>
        <stp>ACTUAL_SALES_PER_EMPL</stp>
        <stp>FQ1 2005</stp>
        <stp>FQ1 2005</stp>
        <stp>[FA1_j2ahgkxc.xlsx]Income - Adjusted!R53C27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3" s="2"/>
      </tp>
      <tp t="s">
        <v>—</v>
        <stp/>
        <stp>##V3_BDHV12</stp>
        <stp>AMZN US Equity</stp>
        <stp>ACTUAL_SALES_PER_EMPL</stp>
        <stp>FQ1 2004</stp>
        <stp>FQ1 2004</stp>
        <stp>[FA1_j2ahgkxc.xlsx]Income - Adjusted!R53C23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3" s="2"/>
      </tp>
      <tp t="s">
        <v>—</v>
        <stp/>
        <stp>##V3_BDHV12</stp>
        <stp>AMZN US Equity</stp>
        <stp>ACTUAL_SALES_PER_EMPL</stp>
        <stp>FQ1 2006</stp>
        <stp>FQ1 2006</stp>
        <stp>[FA1_j2ahgkxc.xlsx]Income - Adjusted!R53C31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3" s="2"/>
      </tp>
      <tp t="s">
        <v>—</v>
        <stp/>
        <stp>##V3_BDHV12</stp>
        <stp>AMZN US Equity</stp>
        <stp>ACTUAL_SALES_PER_EMPL</stp>
        <stp>FQ1 2007</stp>
        <stp>FQ1 2007</stp>
        <stp>[FA1_j2ahgkxc.xlsx]Income - Adjusted!R53C35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3" s="2"/>
      </tp>
      <tp t="s">
        <v>—</v>
        <stp/>
        <stp>##V3_BDHV12</stp>
        <stp>AMZN US Equity</stp>
        <stp>ACTUAL_SALES_PER_EMPL</stp>
        <stp>FQ1 2002</stp>
        <stp>FQ1 2002</stp>
        <stp>[FA1_j2ahgkxc.xlsx]Income - Adjusted!R53C15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3" s="2"/>
      </tp>
      <tp t="s">
        <v>—</v>
        <stp/>
        <stp>##V3_BDHV12</stp>
        <stp>AMZN US Equity</stp>
        <stp>ACTUAL_SALES_PER_EMPL</stp>
        <stp>FQ1 2003</stp>
        <stp>FQ1 2003</stp>
        <stp>[FA1_j2ahgkxc.xlsx]Income - Adjusted!R53C19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3" s="2"/>
      </tp>
      <tp t="s">
        <v>—</v>
        <stp/>
        <stp>##V3_BDHV12</stp>
        <stp>AMZN US Equity</stp>
        <stp>ACTUAL_SALES_PER_EMPL</stp>
        <stp>FQ1 2001</stp>
        <stp>FQ1 2001</stp>
        <stp>[FA1_j2ahgkxc.xlsx]Income - Adjusted!R53C11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3" s="2"/>
      </tp>
      <tp t="s">
        <v>—</v>
        <stp/>
        <stp>##V3_BDHV12</stp>
        <stp>AMZN US Equity</stp>
        <stp>ACTUAL_SALES_PER_EMPL</stp>
        <stp>FQ1 2008</stp>
        <stp>FQ1 2008</stp>
        <stp>[FA1_j2ahgkxc.xlsx]Income - Adjusted!R53C39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3" s="2"/>
      </tp>
      <tp t="s">
        <v>—</v>
        <stp/>
        <stp>##V3_BDHV12</stp>
        <stp>AMZN US Equity</stp>
        <stp>ACTUAL_SALES_PER_EMPL</stp>
        <stp>FQ3 2006</stp>
        <stp>FQ3 2006</stp>
        <stp>[FA1_j2ahgkxc.xlsx]Income - Adjusted!R53C33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3" s="2"/>
      </tp>
      <tp t="s">
        <v>—</v>
        <stp/>
        <stp>##V3_BDHV12</stp>
        <stp>AMZN US Equity</stp>
        <stp>ACTUAL_SALES_PER_EMPL</stp>
        <stp>FQ3 2007</stp>
        <stp>FQ3 2007</stp>
        <stp>[FA1_j2ahgkxc.xlsx]Income - Adjusted!R53C37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3" s="2"/>
      </tp>
      <tp t="s">
        <v>—</v>
        <stp/>
        <stp>##V3_BDHV12</stp>
        <stp>AMZN US Equity</stp>
        <stp>ACTUAL_SALES_PER_EMPL</stp>
        <stp>FQ3 2005</stp>
        <stp>FQ3 2005</stp>
        <stp>[FA1_j2ahgkxc.xlsx]Income - Adjusted!R53C29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3" s="2"/>
      </tp>
      <tp t="s">
        <v>—</v>
        <stp/>
        <stp>##V3_BDHV12</stp>
        <stp>AMZN US Equity</stp>
        <stp>ACTUAL_SALES_PER_EMPL</stp>
        <stp>FQ3 2004</stp>
        <stp>FQ3 2004</stp>
        <stp>[FA1_j2ahgkxc.xlsx]Income - Adjusted!R53C25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3" s="2"/>
      </tp>
      <tp t="s">
        <v>—</v>
        <stp/>
        <stp>##V3_BDHV12</stp>
        <stp>AMZN US Equity</stp>
        <stp>ACTUAL_SALES_PER_EMPL</stp>
        <stp>FQ3 2003</stp>
        <stp>FQ3 2003</stp>
        <stp>[FA1_j2ahgkxc.xlsx]Income - Adjusted!R53C21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3" s="2"/>
      </tp>
      <tp t="s">
        <v>—</v>
        <stp/>
        <stp>##V3_BDHV12</stp>
        <stp>AMZN US Equity</stp>
        <stp>ACTUAL_SALES_PER_EMPL</stp>
        <stp>FQ3 2001</stp>
        <stp>FQ3 2001</stp>
        <stp>[FA1_j2ahgkxc.xlsx]Income - Adjusted!R53C13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3" s="2"/>
      </tp>
      <tp t="s">
        <v>—</v>
        <stp/>
        <stp>##V3_BDHV12</stp>
        <stp>AMZN US Equity</stp>
        <stp>ACTUAL_SALES_PER_EMPL</stp>
        <stp>FQ3 2002</stp>
        <stp>FQ3 2002</stp>
        <stp>[FA1_j2ahgkxc.xlsx]Income - Adjusted!R53C17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3" s="2"/>
      </tp>
      <tp t="s">
        <v>—</v>
        <stp/>
        <stp>##V3_BDHV12</stp>
        <stp>AMZN US Equity</stp>
        <stp>ACTUAL_SALES_PER_EMPL</stp>
        <stp>FQ3 2008</stp>
        <stp>FQ3 2008</stp>
        <stp>[FA1_j2ahgkxc.xlsx]Income - Adjusted!R53C41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3" s="2"/>
      </tp>
      <tp t="s">
        <v>—</v>
        <stp/>
        <stp>##V3_BDHV12</stp>
        <stp>AMZN US Equity</stp>
        <stp>ACTUAL_SALES_PER_EMPL</stp>
        <stp>FQ2 2007</stp>
        <stp>FQ2 2007</stp>
        <stp>[FA1_j2ahgkxc.xlsx]Income - Adjusted!R53C36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3" s="2"/>
      </tp>
      <tp t="s">
        <v>—</v>
        <stp/>
        <stp>##V3_BDHV12</stp>
        <stp>AMZN US Equity</stp>
        <stp>ACTUAL_SALES_PER_EMPL</stp>
        <stp>FQ2 2006</stp>
        <stp>FQ2 2006</stp>
        <stp>[FA1_j2ahgkxc.xlsx]Income - Adjusted!R53C32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3" s="2"/>
      </tp>
      <tp t="s">
        <v>—</v>
        <stp/>
        <stp>##V3_BDHV12</stp>
        <stp>AMZN US Equity</stp>
        <stp>ACTUAL_SALES_PER_EMPL</stp>
        <stp>FQ2 2004</stp>
        <stp>FQ2 2004</stp>
        <stp>[FA1_j2ahgkxc.xlsx]Income - Adjusted!R53C24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3" s="2"/>
      </tp>
      <tp t="s">
        <v>—</v>
        <stp/>
        <stp>##V3_BDHV12</stp>
        <stp>AMZN US Equity</stp>
        <stp>ACTUAL_SALES_PER_EMPL</stp>
        <stp>FQ2 2005</stp>
        <stp>FQ2 2005</stp>
        <stp>[FA1_j2ahgkxc.xlsx]Income - Adjusted!R53C28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3" s="2"/>
      </tp>
      <tp t="s">
        <v>—</v>
        <stp/>
        <stp>##V3_BDHV12</stp>
        <stp>AMZN US Equity</stp>
        <stp>ACTUAL_SALES_PER_EMPL</stp>
        <stp>FQ2 2001</stp>
        <stp>FQ2 2001</stp>
        <stp>[FA1_j2ahgkxc.xlsx]Income - Adjusted!R53C12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3" s="2"/>
      </tp>
      <tp t="s">
        <v>—</v>
        <stp/>
        <stp>##V3_BDHV12</stp>
        <stp>AMZN US Equity</stp>
        <stp>ACTUAL_SALES_PER_EMPL</stp>
        <stp>FQ2 2003</stp>
        <stp>FQ2 2003</stp>
        <stp>[FA1_j2ahgkxc.xlsx]Income - Adjusted!R53C20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3" s="2"/>
      </tp>
      <tp t="s">
        <v>—</v>
        <stp/>
        <stp>##V3_BDHV12</stp>
        <stp>AMZN US Equity</stp>
        <stp>ACTUAL_SALES_PER_EMPL</stp>
        <stp>FQ2 2002</stp>
        <stp>FQ2 2002</stp>
        <stp>[FA1_j2ahgkxc.xlsx]Income - Adjusted!R53C16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3" s="2"/>
      </tp>
      <tp t="s">
        <v>—</v>
        <stp/>
        <stp>##V3_BDHV12</stp>
        <stp>AMZN US Equity</stp>
        <stp>ACTUAL_SALES_PER_EMPL</stp>
        <stp>FQ2 2008</stp>
        <stp>FQ2 2008</stp>
        <stp>[FA1_j2ahgkxc.xlsx]Income - Adjusted!R53C40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3" s="2"/>
      </tp>
      <tp t="s">
        <v>—</v>
        <stp/>
        <stp>##V3_BDHV12</stp>
        <stp>AMZN US Equity</stp>
        <stp>ACTUAL_SALES_PER_EMPL</stp>
        <stp>FQ4 2002</stp>
        <stp>FQ4 2002</stp>
        <stp>[FA1_j2ahgkxc.xlsx]Income - Adjusted!R53C18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3" s="2"/>
      </tp>
      <tp t="s">
        <v>—</v>
        <stp/>
        <stp>##V3_BDHV12</stp>
        <stp>AMZN US Equity</stp>
        <stp>ACTUAL_SALES_PER_EMPL</stp>
        <stp>FQ4 2001</stp>
        <stp>FQ4 2001</stp>
        <stp>[FA1_j2ahgkxc.xlsx]Income - Adjusted!R53C14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3" s="2"/>
      </tp>
      <tp t="s">
        <v>—</v>
        <stp/>
        <stp>##V3_BDHV12</stp>
        <stp>AMZN US Equity</stp>
        <stp>ACTUAL_SALES_PER_EMPL</stp>
        <stp>FQ4 2003</stp>
        <stp>FQ4 2003</stp>
        <stp>[FA1_j2ahgkxc.xlsx]Income - Adjusted!R53C22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3" s="2"/>
      </tp>
      <tp t="s">
        <v>—</v>
        <stp/>
        <stp>##V3_BDHV12</stp>
        <stp>AMZN US Equity</stp>
        <stp>ACTUAL_SALES_PER_EMPL</stp>
        <stp>FQ4 2000</stp>
        <stp>FQ4 2000</stp>
        <stp>[FA1_j2ahgkxc.xlsx]Income - Adjusted!R53C10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3" s="2"/>
      </tp>
      <tp>
        <v>248083.3333</v>
        <stp/>
        <stp>##V3_BDHV12</stp>
        <stp>AMZN US Equity</stp>
        <stp>ACTUAL_SALES_PER_EMPL</stp>
        <stp>FQ4 2005</stp>
        <stp>FQ4 2005</stp>
        <stp>[FA1_j2ahgkxc.xlsx]Income - Adjusted!R53C30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3" s="2"/>
      </tp>
      <tp>
        <v>282328.77600000001</v>
        <stp/>
        <stp>##V3_BDHV12</stp>
        <stp>AMZN US Equity</stp>
        <stp>ACTUAL_SALES_PER_EMPL</stp>
        <stp>FQ4 2004</stp>
        <stp>FQ4 2004</stp>
        <stp>[FA1_j2ahgkxc.xlsx]Income - Adjusted!R53C26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3" s="2"/>
      </tp>
      <tp>
        <v>333705.8824</v>
        <stp/>
        <stp>##V3_BDHV12</stp>
        <stp>AMZN US Equity</stp>
        <stp>ACTUAL_SALES_PER_EMPL</stp>
        <stp>FQ4 2007</stp>
        <stp>FQ4 2007</stp>
        <stp>[FA1_j2ahgkxc.xlsx]Income - Adjusted!R53C38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3" s="2"/>
      </tp>
      <tp>
        <v>286762.58990000002</v>
        <stp/>
        <stp>##V3_BDHV12</stp>
        <stp>AMZN US Equity</stp>
        <stp>ACTUAL_SALES_PER_EMPL</stp>
        <stp>FQ4 2006</stp>
        <stp>FQ4 2006</stp>
        <stp>[FA1_j2ahgkxc.xlsx]Income - Adjusted!R53C34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3" s="2"/>
      </tp>
      <tp>
        <v>323864.73430000001</v>
        <stp/>
        <stp>##V3_BDHV12</stp>
        <stp>AMZN US Equity</stp>
        <stp>ACTUAL_SALES_PER_EMPL</stp>
        <stp>FQ4 2008</stp>
        <stp>FQ4 2008</stp>
        <stp>[FA1_j2ahgkxc.xlsx]Income - Adjusted!R53C42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3" s="2"/>
      </tp>
      <tp>
        <v>0</v>
        <stp/>
        <stp>##V3_BDHV12</stp>
        <stp>AMZN US Equity</stp>
        <stp>IS_FOREIGN_EXCH_LOSS</stp>
        <stp>FQ3 2000</stp>
        <stp>FQ3 2000</stp>
        <stp>[FA1_j2ahgkxc.xlsx]Income - Adjusted!R16C9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2"/>
      </tp>
      <tp>
        <v>224.3</v>
        <stp/>
        <stp>##V3_BDHV12</stp>
        <stp>AMZN US Equity</stp>
        <stp>GROSS_PROFIT</stp>
        <stp>FQ4 2000</stp>
        <stp>FQ4 2000</stp>
        <stp>[FA1_j2ahgkxc.xlsx]Income - Adjusted!R8C10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 t="s">
        <v>—</v>
        <stp/>
        <stp>##V3_BDHV12</stp>
        <stp>AMZN US Equity</stp>
        <stp>BS_OPTIONS_GRANTED</stp>
        <stp>FQ1 1999</stp>
        <stp>FQ1 1999</stp>
        <stp>[FA1_j2ahgkxc.xlsx]Bal Sheet - Standardized!R63C4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3" s="3"/>
      </tp>
      <tp t="s">
        <v>—</v>
        <stp/>
        <stp>##V3_BDHV12</stp>
        <stp>AMZN US Equity</stp>
        <stp>BS_OPTIONS_GRANTED</stp>
        <stp>FQ3 1999</stp>
        <stp>FQ3 1999</stp>
        <stp>[FA1_j2ahgkxc.xlsx]Bal Sheet - Standardized!R63C6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3" s="3"/>
      </tp>
      <tp t="s">
        <v>—</v>
        <stp/>
        <stp>##V3_BDHV12</stp>
        <stp>AMZN US Equity</stp>
        <stp>CASH_CONVERSION_CYCLE</stp>
        <stp>FQ1 2000</stp>
        <stp>FQ1 2000</stp>
        <stp>[FA1_j2ahgkxc.xlsx]Bal Sheet - Standardized!R69C8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69" s="3"/>
      </tp>
      <tp t="s">
        <v>—</v>
        <stp/>
        <stp>##V3_BDHV12</stp>
        <stp>AMZN US Equity</stp>
        <stp>CASH_CONVERSION_CYCLE</stp>
        <stp>FQ1 1999</stp>
        <stp>FQ1 1999</stp>
        <stp>[FA1_j2ahgkxc.xlsx]Bal Sheet - Standardized!R69C4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69" s="3"/>
      </tp>
      <tp>
        <v>5.2480000000000002</v>
        <stp/>
        <stp>##V3_BDHV12</stp>
        <stp>AMZN US Equity</stp>
        <stp>BS_CASH_NEAR_CASH_ITEM</stp>
        <stp>FQ1 1999</stp>
        <stp>FQ1 1999</stp>
        <stp>[FA1_j2ahgkxc.xlsx]Bal Sheet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42.539000000000001</v>
        <stp/>
        <stp>##V3_BDHV12</stp>
        <stp>AMZN US Equity</stp>
        <stp>BS_CASH_NEAR_CASH_ITEM</stp>
        <stp>FQ2 1999</stp>
        <stp>FQ2 1999</stp>
        <stp>[FA1_j2ahgkxc.xlsx]Bal Sheet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43.149000000000001</v>
        <stp/>
        <stp>##V3_BDHV12</stp>
        <stp>AMZN US Equity</stp>
        <stp>BS_CASH_NEAR_CASH_ITEM</stp>
        <stp>FQ3 1999</stp>
        <stp>FQ3 1999</stp>
        <stp>[FA1_j2ahgkxc.xlsx]Bal Sheet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3"/>
      </tp>
      <tp>
        <v>20</v>
        <stp/>
        <stp>##V3_BDHV12</stp>
        <stp>AMZN US Equity</stp>
        <stp>IS_INT_INC</stp>
        <stp>FQ1 2007</stp>
        <stp>FQ1 2007</stp>
        <stp>[FA1_j2ahgkxc.xlsx]Income - Adjusted!R15C35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5" s="2"/>
      </tp>
      <tp>
        <v>9</v>
        <stp/>
        <stp>##V3_BDHV12</stp>
        <stp>AMZN US Equity</stp>
        <stp>IS_INT_INC</stp>
        <stp>FQ1 2005</stp>
        <stp>FQ1 2005</stp>
        <stp>[FA1_j2ahgkxc.xlsx]Income - Adjusted!R15C27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5" s="2"/>
      </tp>
      <tp>
        <v>4.3239999999999998</v>
        <stp/>
        <stp>##V3_BDHV12</stp>
        <stp>AMZN US Equity</stp>
        <stp>IS_INT_INC</stp>
        <stp>FQ3 2003</stp>
        <stp>FQ3 2003</stp>
        <stp>[FA1_j2ahgkxc.xlsx]Income - Adjusted!R15C21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5" s="2"/>
      </tp>
      <tp>
        <v>6.3159999999999998</v>
        <stp/>
        <stp>##V3_BDHV12</stp>
        <stp>AMZN US Equity</stp>
        <stp>IS_INT_INC</stp>
        <stp>FQ3 2001</stp>
        <stp>FQ3 2001</stp>
        <stp>[FA1_j2ahgkxc.xlsx]Income - Adjusted!R15C13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5" s="2"/>
      </tp>
      <tp>
        <v>17</v>
        <stp/>
        <stp>##V3_BDHV12</stp>
        <stp>AMZN US Equity</stp>
        <stp>IS_INT_INC</stp>
        <stp>FQ4 2006</stp>
        <stp>FQ4 2006</stp>
        <stp>[FA1_j2ahgkxc.xlsx]Income - Adjusted!R15C34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5" s="2"/>
      </tp>
      <tp>
        <v>9.7780000000000005</v>
        <stp/>
        <stp>##V3_BDHV12</stp>
        <stp>AMZN US Equity</stp>
        <stp>IS_INT_INC</stp>
        <stp>FQ4 2004</stp>
        <stp>FQ4 2004</stp>
        <stp>[FA1_j2ahgkxc.xlsx]Income - Adjusted!R15C26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5" s="2"/>
      </tp>
      <tp>
        <v>116.962</v>
        <stp/>
        <stp>##V3_BDHV12</stp>
        <stp>AMZN US Equity</stp>
        <stp>BS_CASH_NEAR_CASH_ITEM</stp>
        <stp>FQ4 1999</stp>
        <stp>FQ4 1999</stp>
        <stp>[FA1_j2ahgkxc.xlsx]Bal Sheet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0</v>
        <stp/>
        <stp>##V3_BDHV12</stp>
        <stp>AMZN US Equity</stp>
        <stp>OTHER_ADJUSTMENTS</stp>
        <stp>FQ1 2001</stp>
        <stp>FQ1 2001</stp>
        <stp>[FA1_j2ahgkxc.xlsx]Income - Adjusted!R28C11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2"/>
      </tp>
      <tp>
        <v>0</v>
        <stp/>
        <stp>##V3_BDHV12</stp>
        <stp>AMZN US Equity</stp>
        <stp>OTHER_ADJUSTMENTS</stp>
        <stp>FQ4 2006</stp>
        <stp>FQ4 2006</stp>
        <stp>[FA1_j2ahgkxc.xlsx]Income - Adjusted!R28C34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2"/>
      </tp>
      <tp>
        <v>0</v>
        <stp/>
        <stp>##V3_BDHV12</stp>
        <stp>AMZN US Equity</stp>
        <stp>OTHER_ADJUSTMENTS</stp>
        <stp>FQ2 2002</stp>
        <stp>FQ2 2002</stp>
        <stp>[FA1_j2ahgkxc.xlsx]Income - Adjusted!R28C16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2"/>
      </tp>
      <tp>
        <v>23447.253000000001</v>
        <stp/>
        <stp>##V3_BDHV12</stp>
        <stp>AMZN US Equity</stp>
        <stp>HISTORICAL_MARKET_CAP</stp>
        <stp>FQ1 2000</stp>
        <stp>FQ1 2000</stp>
        <stp>[FA1_j2ahgkxc.xlsx]Stock Value!R12C7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5.8520000000000003</v>
        <stp/>
        <stp>##V3_BDHV12</stp>
        <stp>AMZN US Equity</stp>
        <stp>CHG_PCT_PERIOD</stp>
        <stp>FQ3 2000</stp>
        <stp>FQ3 2000</stp>
        <stp>[FA1_j2ahgkxc.xlsx]Stock Value!R7C9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6"/>
      </tp>
      <tp>
        <v>13687.6702</v>
        <stp/>
        <stp>##V3_BDHV12</stp>
        <stp>AMZN US Equity</stp>
        <stp>HISTORICAL_MARKET_CAP</stp>
        <stp>FQ3 2000</stp>
        <stp>FQ3 2000</stp>
        <stp>[FA1_j2ahgkxc.xlsx]Stock Value!R12C9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6"/>
      </tp>
      <tp t="s">
        <v>—</v>
        <stp/>
        <stp>##V3_BDHV12</stp>
        <stp>AMZN US Equity</stp>
        <stp>HISTORICAL_MARKET_CAP</stp>
        <stp>FQ2 2000</stp>
        <stp>FQ2 2000</stp>
        <stp>[FA1_j2ahgkxc.xlsx]Stock Value!R12C8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60.797699999999999</v>
        <stp/>
        <stp>##V3_BDHV12</stp>
        <stp>AMZN US Equity</stp>
        <stp>CHG_PCT_PERIOD</stp>
        <stp>FQ1 1999</stp>
        <stp>FQ1 1999</stp>
        <stp>[FA1_j2ahgkxc.xlsx]Stock Value!R7C3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6"/>
      </tp>
      <tp>
        <v>236.71100000000001</v>
        <stp/>
        <stp>##V3_BDHV12</stp>
        <stp>AMZN US Equity</stp>
        <stp>BS_ACCT_PAYABLE</stp>
        <stp>FQ3 1999</stp>
        <stp>FQ3 1999</stp>
        <stp>[FA1_j2ahgkxc.xlsx]Bal Sheet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133.018</v>
        <stp/>
        <stp>##V3_BDHV12</stp>
        <stp>AMZN US Equity</stp>
        <stp>BS_ACCT_PAYABLE</stp>
        <stp>FQ1 1999</stp>
        <stp>FQ1 1999</stp>
        <stp>[FA1_j2ahgkxc.xlsx]Bal Sheet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3"/>
      </tp>
      <tp>
        <v>113.273</v>
        <stp/>
        <stp>##V3_BDHV12</stp>
        <stp>AMZN US Equity</stp>
        <stp>BS_ACCT_PAYABLE</stp>
        <stp>FQ4 1998</stp>
        <stp>FQ4 1998</stp>
        <stp>[FA1_j2ahgkxc.xlsx]Bal Sheet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165.983</v>
        <stp/>
        <stp>##V3_BDHV12</stp>
        <stp>AMZN US Equity</stp>
        <stp>BS_ACCT_PAYABLE</stp>
        <stp>FQ2 1999</stp>
        <stp>FQ2 1999</stp>
        <stp>[FA1_j2ahgkxc.xlsx]Bal Sheet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3"/>
      </tp>
      <tp>
        <v>3.0815000000000001</v>
        <stp/>
        <stp>##V3_BDHV12</stp>
        <stp>AMZN US Equity</stp>
        <stp>CASH_ST_INVESTMENTS_PER_SH</stp>
        <stp>FQ4 2000</stp>
        <stp>FQ4 2000</stp>
        <stp>[FA1_j2ahgkxc.xlsx]Per Share!R25C10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5" s="5"/>
      </tp>
      <tp>
        <v>1.7917999999999998</v>
        <stp/>
        <stp>##V3_BDHV12</stp>
        <stp>AMZN US Equity</stp>
        <stp>CASH_ST_INVESTMENTS_PER_SH</stp>
        <stp>FQ1 2001</stp>
        <stp>FQ1 2001</stp>
        <stp>[FA1_j2ahgkxc.xlsx]Per Share!R25C11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5" s="5"/>
      </tp>
      <tp>
        <v>2.8308999999999997</v>
        <stp/>
        <stp>##V3_BDHV12</stp>
        <stp>AMZN US Equity</stp>
        <stp>CASH_ST_INVESTMENTS_PER_SH</stp>
        <stp>FQ2 2004</stp>
        <stp>FQ2 2004</stp>
        <stp>[FA1_j2ahgkxc.xlsx]Per Share!R25C24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5" s="5"/>
      </tp>
      <tp>
        <v>4.5999999999999996</v>
        <stp/>
        <stp>##V3_BDHV12</stp>
        <stp>AMZN US Equity</stp>
        <stp>CASH_ST_INVESTMENTS_PER_SH</stp>
        <stp>FQ3 2007</stp>
        <stp>FQ3 2007</stp>
        <stp>[FA1_j2ahgkxc.xlsx]Per Share!R25C37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5" s="5"/>
      </tp>
      <tp>
        <v>463.02600000000001</v>
        <stp/>
        <stp>##V3_BDHV12</stp>
        <stp>AMZN US Equity</stp>
        <stp>BS_ACCT_PAYABLE</stp>
        <stp>FQ4 1999</stp>
        <stp>FQ4 1999</stp>
        <stp>[FA1_j2ahgkxc.xlsx]Bal Sheet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3"/>
      </tp>
      <tp>
        <v>1091.5419999999999</v>
        <stp/>
        <stp>##V3_BDHV12</stp>
        <stp>AMZN US Equity</stp>
        <stp>BS_TOT_NON_CUR_ASSET</stp>
        <stp>FQ3 2000</stp>
        <stp>FQ3 2000</stp>
        <stp>[FA1_j2ahgkxc.xlsx]Bal Sheet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3"/>
      </tp>
      <tp>
        <v>150.78200000000001</v>
        <stp/>
        <stp>##V3_BDHV12</stp>
        <stp>AMZN US Equity</stp>
        <stp>BS_LT_INVEST</stp>
        <stp>FQ1 2000</stp>
        <stp>FQ1 2000</stp>
        <stp>[FA1_j2ahgkxc.xlsx]Bal Sheet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73.344999999999999</v>
        <stp/>
        <stp>##V3_BDHV12</stp>
        <stp>AMZN US Equity</stp>
        <stp>BS_LT_INVEST</stp>
        <stp>FQ3 2000</stp>
        <stp>FQ3 2000</stp>
        <stp>[FA1_j2ahgkxc.xlsx]Bal Sheet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1458.83</v>
        <stp/>
        <stp>##V3_BDHV12</stp>
        <stp>AMZN US Equity</stp>
        <stp>BS_TOT_NON_CUR_ASSET</stp>
        <stp>FQ1 2000</stp>
        <stp>FQ1 2000</stp>
        <stp>[FA1_j2ahgkxc.xlsx]Bal Sheet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3"/>
      </tp>
      <tp>
        <v>0</v>
        <stp/>
        <stp>##V3_BDHV12</stp>
        <stp>AMZN US Equity</stp>
        <stp>INVTRY_FINISHED_GOODS</stp>
        <stp>FQ2 2008</stp>
        <stp>FQ2 2008</stp>
        <stp>[FA1_j2ahgkxc.xlsx]Bal Sheet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3"/>
      </tp>
      <tp>
        <v>293.91699999999997</v>
        <stp/>
        <stp>##V3_BDHV12</stp>
        <stp>AMZN US Equity</stp>
        <stp>INVTRY_FINISHED_GOODS</stp>
        <stp>FQ4 2003</stp>
        <stp>FQ4 2003</stp>
        <stp>[FA1_j2ahgkxc.xlsx]Bal Sheet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3"/>
      </tp>
      <tp>
        <v>479.709</v>
        <stp/>
        <stp>##V3_BDHV12</stp>
        <stp>AMZN US Equity</stp>
        <stp>INVTRY_FINISHED_GOODS</stp>
        <stp>FQ4 2004</stp>
        <stp>FQ4 2004</stp>
        <stp>[FA1_j2ahgkxc.xlsx]Bal Sheet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3"/>
      </tp>
      <tp>
        <v>2254.627</v>
        <stp/>
        <stp>##V3_BDHV12</stp>
        <stp>AMZN US Equity</stp>
        <stp>BS_TOT_ASSET</stp>
        <stp>FQ3 2000</stp>
        <stp>FQ3 2000</stp>
        <stp>[FA1_j2ahgkxc.xlsx]Bal Sheet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3"/>
      </tp>
      <tp>
        <v>2729.7429999999999</v>
        <stp/>
        <stp>##V3_BDHV12</stp>
        <stp>AMZN US Equity</stp>
        <stp>BS_TOT_ASSET</stp>
        <stp>FQ1 2000</stp>
        <stp>FQ1 2000</stp>
        <stp>[FA1_j2ahgkxc.xlsx]Bal Sheet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3"/>
      </tp>
      <tp>
        <v>-487.16699999999997</v>
        <stp/>
        <stp>##V3_BDHV12</stp>
        <stp>AMZN US Equity</stp>
        <stp>TOTAL_EQUITY</stp>
        <stp>FQ3 2000</stp>
        <stp>FQ3 2000</stp>
        <stp>[FA1_j2ahgkxc.xlsx]Bal Sheet - Standardized!R54C9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4" s="3"/>
      </tp>
      <tp>
        <v>0</v>
        <stp/>
        <stp>##V3_BDHV12</stp>
        <stp>AMZN US Equity</stp>
        <stp>IS_ABNORMAL_ITEM</stp>
        <stp>FQ1 2008</stp>
        <stp>FQ1 2008</stp>
        <stp>[FA1_j2ahgkxc.xlsx]Income - Adjusted!R18C39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2"/>
      </tp>
      <tp>
        <v>25.617000000000001</v>
        <stp/>
        <stp>##V3_BDHV12</stp>
        <stp>AMZN US Equity</stp>
        <stp>TOTAL_EQUITY</stp>
        <stp>FQ1 2000</stp>
        <stp>FQ1 2000</stp>
        <stp>[FA1_j2ahgkxc.xlsx]Bal Sheet - Standardized!R54C8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4" s="3"/>
      </tp>
      <tp>
        <v>338.38900000000001</v>
        <stp/>
        <stp>##V3_BDHV12</stp>
        <stp>AMZN US Equity</stp>
        <stp>IS_AVG_NUM_SH_FOR_EPS</stp>
        <stp>FQ4 1999</stp>
        <stp>FQ4 1999</stp>
        <stp>[FA1_j2ahgkxc.xlsx]Income - Adjusted!R34C7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4" s="2"/>
      </tp>
      <tp>
        <v>0</v>
        <stp/>
        <stp>##V3_BDHV12</stp>
        <stp>AMZN US Equity</stp>
        <stp>IS_FOREIGN_EXCH_LOSS</stp>
        <stp>FQ1 2000</stp>
        <stp>FQ1 2000</stp>
        <stp>[FA1_j2ahgkxc.xlsx]Income - Adjusted!R16C8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2"/>
      </tp>
      <tp>
        <v>3714</v>
        <stp/>
        <stp>##V3_BDHV12</stp>
        <stp>AMZN US Equity</stp>
        <stp>BS_CUR_LIAB</stp>
        <stp>FQ4 2007</stp>
        <stp>FQ4 2007</stp>
        <stp>[FA1_j2ahgkxc.xlsx]Bal Sheet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3"/>
      </tp>
      <tp>
        <v>-0.55000000000000004</v>
        <stp/>
        <stp>##V3_BDHV12</stp>
        <stp>AMZN US Equity</stp>
        <stp>IS_BASIC_EPS_CONT_OPS</stp>
        <stp>FQ4 1999</stp>
        <stp>FQ4 1999</stp>
        <stp>[FA1_j2ahgkxc.xlsx]Income - Adjusted!R37C7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7" s="2"/>
      </tp>
      <tp>
        <v>3144</v>
        <stp/>
        <stp>##V3_BDHV12</stp>
        <stp>AMZN US Equity</stp>
        <stp>BS_CUR_LIAB</stp>
        <stp>FQ3 2008</stp>
        <stp>FQ3 2008</stp>
        <stp>[FA1_j2ahgkxc.xlsx]Bal Sheet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3"/>
      </tp>
      <tp>
        <v>1929</v>
        <stp/>
        <stp>##V3_BDHV12</stp>
        <stp>AMZN US Equity</stp>
        <stp>BS_CUR_LIAB</stp>
        <stp>FQ4 2005</stp>
        <stp>FQ4 2005</stp>
        <stp>[FA1_j2ahgkxc.xlsx]Bal Sheet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3"/>
      </tp>
      <tp>
        <v>338.38900000000001</v>
        <stp/>
        <stp>##V3_BDHV12</stp>
        <stp>AMZN US Equity</stp>
        <stp>IS_SH_FOR_DILUTED_EPS</stp>
        <stp>FQ4 1999</stp>
        <stp>FQ4 1999</stp>
        <stp>[FA1_j2ahgkxc.xlsx]Income - Adjusted!R39C7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9" s="2"/>
      </tp>
      <tp>
        <v>2532</v>
        <stp/>
        <stp>##V3_BDHV12</stp>
        <stp>AMZN US Equity</stp>
        <stp>BS_CUR_LIAB</stp>
        <stp>FQ4 2006</stp>
        <stp>FQ4 2006</stp>
        <stp>[FA1_j2ahgkxc.xlsx]Bal Sheet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3"/>
      </tp>
      <tp>
        <v>-54.029000000000003</v>
        <stp/>
        <stp>##V3_BDHV12</stp>
        <stp>AMZN US Equity</stp>
        <stp>CF_CASH_FROM_OPER</stp>
        <stp>FQ2 2000</stp>
        <stp>FQ2 2000</stp>
        <stp>[FA1_j2ahgkxc.xlsx]Cash Flow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4"/>
      </tp>
      <tp>
        <v>-3.6879999999999997</v>
        <stp/>
        <stp>##V3_BDHV12</stp>
        <stp>AMZN US Equity</stp>
        <stp>CF_CASH_FROM_OPER</stp>
        <stp>FQ3 2000</stp>
        <stp>FQ3 2000</stp>
        <stp>[FA1_j2ahgkxc.xlsx]Cash Flow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4"/>
      </tp>
      <tp>
        <v>25.561</v>
        <stp/>
        <stp>##V3_BDHV12</stp>
        <stp>AMZN US Equity</stp>
        <stp>BS_CASH_NEAR_CASH_ITEM</stp>
        <stp>FQ4 1998</stp>
        <stp>FQ4 1998</stp>
        <stp>[FA1_j2ahgkxc.xlsx]Bal Sheet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-320.37799999999999</v>
        <stp/>
        <stp>##V3_BDHV12</stp>
        <stp>AMZN US Equity</stp>
        <stp>CF_CASH_FROM_OPER</stp>
        <stp>FQ1 2000</stp>
        <stp>FQ1 2000</stp>
        <stp>[FA1_j2ahgkxc.xlsx]Cash Flow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4"/>
      </tp>
      <tp>
        <v>6.8070000000000004</v>
        <stp/>
        <stp>##V3_BDHV12</stp>
        <stp>AMZN US Equity</stp>
        <stp>IS_INT_INC</stp>
        <stp>FQ2 2001</stp>
        <stp>FQ2 2001</stp>
        <stp>[FA1_j2ahgkxc.xlsx]Income - Adjusted!R15C12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5" s="2"/>
      </tp>
      <tp>
        <v>5.7610000000000001</v>
        <stp/>
        <stp>##V3_BDHV12</stp>
        <stp>AMZN US Equity</stp>
        <stp>IS_INT_INC</stp>
        <stp>FQ2 2003</stp>
        <stp>FQ2 2003</stp>
        <stp>[FA1_j2ahgkxc.xlsx]Income - Adjusted!R15C20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5" s="2"/>
      </tp>
      <tp>
        <v>0</v>
        <stp/>
        <stp>##V3_BDHV12</stp>
        <stp>AMZN US Equity</stp>
        <stp>OTHER_ADJUSTMENTS</stp>
        <stp>FQ3 2002</stp>
        <stp>FQ3 2002</stp>
        <stp>[FA1_j2ahgkxc.xlsx]Income - Adjusted!R28C17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2"/>
      </tp>
      <tp>
        <v>-36.256</v>
        <stp/>
        <stp>##V3_BDHV12</stp>
        <stp>AMZN US Equity</stp>
        <stp>CF_FREE_CASH_FLOW</stp>
        <stp>FQ1 1999</stp>
        <stp>FQ1 1999</stp>
        <stp>[FA1_j2ahgkxc.xlsx]Cash Flow - Standardized!R49C3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9" s="4"/>
      </tp>
      <tp>
        <v>-73.69</v>
        <stp/>
        <stp>##V3_BDHV12</stp>
        <stp>AMZN US Equity</stp>
        <stp>CF_FREE_CASH_FLOW</stp>
        <stp>FQ4 1999</stp>
        <stp>FQ4 1999</stp>
        <stp>[FA1_j2ahgkxc.xlsx]Cash Flow - Standardized!R49C6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9" s="4"/>
      </tp>
      <tp>
        <v>-146.33500000000001</v>
        <stp/>
        <stp>##V3_BDHV12</stp>
        <stp>AMZN US Equity</stp>
        <stp>CF_FREE_CASH_FLOW</stp>
        <stp>FQ3 1999</stp>
        <stp>FQ3 1999</stp>
        <stp>[FA1_j2ahgkxc.xlsx]Cash Flow - Standardized!R49C5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9" s="4"/>
      </tp>
      <tp>
        <v>-121.649</v>
        <stp/>
        <stp>##V3_BDHV12</stp>
        <stp>AMZN US Equity</stp>
        <stp>CF_FREE_CASH_FLOW</stp>
        <stp>FQ2 1999</stp>
        <stp>FQ2 1999</stp>
        <stp>[FA1_j2ahgkxc.xlsx]Cash Flow - Standardized!R49C4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9" s="4"/>
      </tp>
      <tp>
        <v>0</v>
        <stp/>
        <stp>##V3_BDHV12</stp>
        <stp>AMZN US Equity</stp>
        <stp>OTHER_ADJUSTMENTS</stp>
        <stp>FQ4 2007</stp>
        <stp>FQ4 2007</stp>
        <stp>[FA1_j2ahgkxc.xlsx]Income - Adjusted!R28C38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2"/>
      </tp>
      <tp>
        <v>-45.802199999999999</v>
        <stp/>
        <stp>##V3_BDHV12</stp>
        <stp>AMZN US Equity</stp>
        <stp>CHG_PCT_PERIOD</stp>
        <stp>FQ2 2000</stp>
        <stp>FQ2 2000</stp>
        <stp>[FA1_j2ahgkxc.xlsx]Stock Value!R7C8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6"/>
      </tp>
      <tp>
        <v>3.4581</v>
        <stp/>
        <stp>##V3_BDHV12</stp>
        <stp>AMZN US Equity</stp>
        <stp>CASH_ST_INVESTMENTS_PER_SH</stp>
        <stp>FQ4 2003</stp>
        <stp>FQ4 2003</stp>
        <stp>[FA1_j2ahgkxc.xlsx]Per Share!R25C22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5" s="5"/>
      </tp>
      <tp>
        <v>5.1582999999999997</v>
        <stp/>
        <stp>##V3_BDHV12</stp>
        <stp>AMZN US Equity</stp>
        <stp>CASH_ST_INVESTMENTS_PER_SH</stp>
        <stp>FQ1 2008</stp>
        <stp>FQ1 2008</stp>
        <stp>[FA1_j2ahgkxc.xlsx]Per Share!R25C39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5" s="5"/>
      </tp>
      <tp>
        <v>4.0315000000000003</v>
        <stp/>
        <stp>##V3_BDHV12</stp>
        <stp>AMZN US Equity</stp>
        <stp>CASH_ST_INVESTMENTS_PER_SH</stp>
        <stp>FQ2 2007</stp>
        <stp>FQ2 2007</stp>
        <stp>[FA1_j2ahgkxc.xlsx]Per Share!R25C36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5" s="5"/>
      </tp>
      <tp>
        <v>2.9074999999999998</v>
        <stp/>
        <stp>##V3_BDHV12</stp>
        <stp>AMZN US Equity</stp>
        <stp>CASH_ST_INVESTMENTS_PER_SH</stp>
        <stp>FQ3 2004</stp>
        <stp>FQ3 2004</stp>
        <stp>[FA1_j2ahgkxc.xlsx]Per Share!R25C25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5" s="5"/>
      </tp>
      <tp>
        <v>-53.743000000000002</v>
        <stp/>
        <stp>##V3_BDHV12</stp>
        <stp>AMZN US Equity</stp>
        <stp>PROF_MARGIN</stp>
        <stp>FQ1 2000</stp>
        <stp>FQ1 2000</stp>
        <stp>[FA1_j2ahgkxc.xlsx]Income - Adjusted!R52C8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2" s="2"/>
      </tp>
      <tp>
        <v>-37.708100000000002</v>
        <stp/>
        <stp>##V3_BDHV12</stp>
        <stp>AMZN US Equity</stp>
        <stp>PROF_MARGIN</stp>
        <stp>FQ3 2000</stp>
        <stp>FQ3 2000</stp>
        <stp>[FA1_j2ahgkxc.xlsx]Income - Adjusted!R52C9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2" s="2"/>
      </tp>
      <tp>
        <v>0</v>
        <stp/>
        <stp>##V3_BDHV12</stp>
        <stp>AMZN US Equity</stp>
        <stp>INVTRY_FINISHED_GOODS</stp>
        <stp>FQ3 2008</stp>
        <stp>FQ3 2008</stp>
        <stp>[FA1_j2ahgkxc.xlsx]Bal Sheet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3"/>
      </tp>
      <tp>
        <v>243.33799999999999</v>
        <stp/>
        <stp>##V3_BDHV12</stp>
        <stp>AMZN US Equity</stp>
        <stp>BS_ACCUM_DEPR</stp>
        <stp>FQ4 2002</stp>
        <stp>FQ4 2002</stp>
        <stp>[FA1_j2ahgkxc.xlsx]Bal Sheet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3"/>
      </tp>
      <tp t="s">
        <v>—</v>
        <stp/>
        <stp>##V3_BDHV12</stp>
        <stp>AMZN US Equity</stp>
        <stp>INVTRY_FINISHED_GOODS</stp>
        <stp>FQ4 2007</stp>
        <stp>FQ4 2007</stp>
        <stp>[FA1_j2ahgkxc.xlsx]Bal Sheet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3"/>
      </tp>
      <tp>
        <v>166.392</v>
        <stp/>
        <stp>##V3_BDHV12</stp>
        <stp>AMZN US Equity</stp>
        <stp>BS_ACCUM_DEPR</stp>
        <stp>FQ4 2001</stp>
        <stp>FQ4 2001</stp>
        <stp>[FA1_j2ahgkxc.xlsx]Bal Sheet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3"/>
      </tp>
      <tp>
        <v>877</v>
        <stp/>
        <stp>##V3_BDHV12</stp>
        <stp>AMZN US Equity</stp>
        <stp>INVTRY_FINISHED_GOODS</stp>
        <stp>FQ4 2006</stp>
        <stp>FQ4 2006</stp>
        <stp>[FA1_j2ahgkxc.xlsx]Bal Sheet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3"/>
      </tp>
      <tp>
        <v>114.848</v>
        <stp/>
        <stp>##V3_BDHV12</stp>
        <stp>AMZN US Equity</stp>
        <stp>BS_ACCUM_DEPR</stp>
        <stp>FQ4 2000</stp>
        <stp>FQ4 2000</stp>
        <stp>[FA1_j2ahgkxc.xlsx]Bal Sheet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3"/>
      </tp>
      <tp>
        <v>566</v>
        <stp/>
        <stp>##V3_BDHV12</stp>
        <stp>AMZN US Equity</stp>
        <stp>INVTRY_FINISHED_GOODS</stp>
        <stp>FQ4 2005</stp>
        <stp>FQ4 2005</stp>
        <stp>[FA1_j2ahgkxc.xlsx]Bal Sheet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3"/>
      </tp>
      <tp>
        <v>-240.524</v>
        <stp/>
        <stp>##V3_BDHV12</stp>
        <stp>AMZN US Equity</stp>
        <stp>PRETAX_INC</stp>
        <stp>FQ3 2000</stp>
        <stp>FQ3 2000</stp>
        <stp>[FA1_j2ahgkxc.xlsx]Income - Adjusted!R17C9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7" s="2"/>
      </tp>
      <tp>
        <v>544.46590000000003</v>
        <stp/>
        <stp>##V3_BDHV12</stp>
        <stp>AMZN US Equity</stp>
        <stp>GROSS_PROFIT</stp>
        <stp>FQ4 2004</stp>
        <stp>FQ4 2004</stp>
        <stp>[FA1_j2ahgkxc.xlsx]Income - Adjusted!R8C26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360.834</v>
        <stp/>
        <stp>##V3_BDHV12</stp>
        <stp>AMZN US Equity</stp>
        <stp>GROSS_PROFIT</stp>
        <stp>FQ1 2004</stp>
        <stp>FQ1 2004</stp>
        <stp>[FA1_j2ahgkxc.xlsx]Income - Adjusted!R8C23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851</v>
        <stp/>
        <stp>##V3_BDHV12</stp>
        <stp>AMZN US Equity</stp>
        <stp>GROSS_PROFIT</stp>
        <stp>FQ4 2006</stp>
        <stp>FQ4 2006</stp>
        <stp>[FA1_j2ahgkxc.xlsx]Income - Adjusted!R8C34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549</v>
        <stp/>
        <stp>##V3_BDHV12</stp>
        <stp>AMZN US Equity</stp>
        <stp>GROSS_PROFIT</stp>
        <stp>FQ3 2006</stp>
        <stp>FQ3 2006</stp>
        <stp>[FA1_j2ahgkxc.xlsx]Income - Adjusted!R8C33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>
        <v>509</v>
        <stp/>
        <stp>##V3_BDHV12</stp>
        <stp>AMZN US Equity</stp>
        <stp>GROSS_PROFIT</stp>
        <stp>FQ2 2006</stp>
        <stp>FQ2 2006</stp>
        <stp>[FA1_j2ahgkxc.xlsx]Income - Adjusted!R8C32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>
        <v>547</v>
        <stp/>
        <stp>##V3_BDHV12</stp>
        <stp>AMZN US Equity</stp>
        <stp>GROSS_PROFIT</stp>
        <stp>FQ1 2006</stp>
        <stp>FQ1 2006</stp>
        <stp>[FA1_j2ahgkxc.xlsx]Income - Adjusted!R8C31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>
        <v>223.125</v>
        <stp/>
        <stp>##V3_BDHV12</stp>
        <stp>AMZN US Equity</stp>
        <stp>GROSS_PROFIT</stp>
        <stp>FQ1 2002</stp>
        <stp>FQ1 2002</stp>
        <stp>[FA1_j2ahgkxc.xlsx]Income - Adjusted!R8C15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216.167</v>
        <stp/>
        <stp>##V3_BDHV12</stp>
        <stp>AMZN US Equity</stp>
        <stp>GROSS_PROFIT</stp>
        <stp>FQ3 2002</stp>
        <stp>FQ3 2002</stp>
        <stp>[FA1_j2ahgkxc.xlsx]Income - Adjusted!R8C17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218.167</v>
        <stp/>
        <stp>##V3_BDHV12</stp>
        <stp>AMZN US Equity</stp>
        <stp>GROSS_PROFIT</stp>
        <stp>FQ2 2002</stp>
        <stp>FQ2 2002</stp>
        <stp>[FA1_j2ahgkxc.xlsx]Income - Adjusted!R8C16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 t="s">
        <v>—</v>
        <stp/>
        <stp>##V3_BDHV12</stp>
        <stp>AMZN US Equity</stp>
        <stp>BS_OPTIONS_GRANTED</stp>
        <stp>FQ4 1998</stp>
        <stp>FQ4 1998</stp>
        <stp>[FA1_j2ahgkxc.xlsx]Bal Sheet - Standardized!R63C3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3" s="3"/>
      </tp>
      <tp>
        <v>3216</v>
        <stp/>
        <stp>##V3_BDHV12</stp>
        <stp>AMZN US Equity</stp>
        <stp>BS_CUR_LIAB</stp>
        <stp>FQ2 2008</stp>
        <stp>FQ2 2008</stp>
        <stp>[FA1_j2ahgkxc.xlsx]Bal Sheet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3"/>
      </tp>
      <tp t="s">
        <v>—</v>
        <stp/>
        <stp>##V3_BDHV12</stp>
        <stp>AMZN US Equity</stp>
        <stp>BS_OPTIONS_GRANTED</stp>
        <stp>FQ2 1999</stp>
        <stp>FQ2 1999</stp>
        <stp>[FA1_j2ahgkxc.xlsx]Bal Sheet - Standardized!R63C5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3" s="3"/>
      </tp>
      <tp>
        <v>1620.4</v>
        <stp/>
        <stp>##V3_BDHV12</stp>
        <stp>AMZN US Equity</stp>
        <stp>BS_CUR_LIAB</stp>
        <stp>FQ4 2004</stp>
        <stp>FQ4 2004</stp>
        <stp>[FA1_j2ahgkxc.xlsx]Bal Sheet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3"/>
      </tp>
      <tp>
        <v>1252.701</v>
        <stp/>
        <stp>##V3_BDHV12</stp>
        <stp>AMZN US Equity</stp>
        <stp>BS_CUR_LIAB</stp>
        <stp>FQ4 2003</stp>
        <stp>FQ4 2003</stp>
        <stp>[FA1_j2ahgkxc.xlsx]Bal Sheet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3"/>
      </tp>
      <tp>
        <v>13</v>
        <stp/>
        <stp>##V3_BDHV12</stp>
        <stp>AMZN US Equity</stp>
        <stp>IS_INT_INC</stp>
        <stp>FQ2 2006</stp>
        <stp>FQ2 2006</stp>
        <stp>[FA1_j2ahgkxc.xlsx]Income - Adjusted!R15C32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5" s="2"/>
      </tp>
      <tp>
        <v>5.65</v>
        <stp/>
        <stp>##V3_BDHV12</stp>
        <stp>AMZN US Equity</stp>
        <stp>IS_INT_INC</stp>
        <stp>FQ2 2002</stp>
        <stp>FQ2 2002</stp>
        <stp>[FA1_j2ahgkxc.xlsx]Income - Adjusted!R15C16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5" s="2"/>
      </tp>
      <tp>
        <v>0</v>
        <stp/>
        <stp>##V3_BDHV12</stp>
        <stp>AMZN US Equity</stp>
        <stp>OTHER_ADJUSTMENTS</stp>
        <stp>FQ3 2007</stp>
        <stp>FQ3 2007</stp>
        <stp>[FA1_j2ahgkxc.xlsx]Income - Adjusted!R28C37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2"/>
      </tp>
      <tp>
        <v>0</v>
        <stp/>
        <stp>##V3_BDHV12</stp>
        <stp>AMZN US Equity</stp>
        <stp>OTHER_ADJUSTMENTS</stp>
        <stp>FQ2 2006</stp>
        <stp>FQ2 2006</stp>
        <stp>[FA1_j2ahgkxc.xlsx]Income - Adjusted!R28C32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2"/>
      </tp>
      <tp>
        <v>0</v>
        <stp/>
        <stp>##V3_BDHV12</stp>
        <stp>AMZN US Equity</stp>
        <stp>OTHER_ADJUSTMENTS</stp>
        <stp>FQ1 2004</stp>
        <stp>FQ1 2004</stp>
        <stp>[FA1_j2ahgkxc.xlsx]Income - Adjusted!R28C23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2"/>
      </tp>
      <tp>
        <v>71.299000000000007</v>
        <stp/>
        <stp>##V3_BDHV12</stp>
        <stp>AMZN US Equity</stp>
        <stp>IS_OPERATING_EXPN</stp>
        <stp>FQ4 1998</stp>
        <stp>FQ4 1998</stp>
        <stp>[FA1_j2ahgkxc.xlsx]Income - Adjusted!R9C3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>
        <v>0</v>
        <stp/>
        <stp>##V3_BDHV12</stp>
        <stp>AMZN US Equity</stp>
        <stp>OTHER_ADJUSTMENTS</stp>
        <stp>FQ4 2002</stp>
        <stp>FQ4 2002</stp>
        <stp>[FA1_j2ahgkxc.xlsx]Income - Adjusted!R28C18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2"/>
      </tp>
      <tp>
        <v>176.602</v>
        <stp/>
        <stp>##V3_BDHV12</stp>
        <stp>AMZN US Equity</stp>
        <stp>IS_OPERATING_EXPN</stp>
        <stp>FQ2 1999</stp>
        <stp>FQ2 1999</stp>
        <stp>[FA1_j2ahgkxc.xlsx]Income - Adjusted!R9C5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>
        <v>-5.2435999999999998</v>
        <stp/>
        <stp>##V3_BDHV12</stp>
        <stp>AMZN US Equity</stp>
        <stp>TCE_RATIO</stp>
        <stp>FQ2 1999</stp>
        <stp>FQ2 1999</stp>
        <stp>[FA1_j2ahgkxc.xlsx]Bal Sheet - Standardized!R67C5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7" s="3"/>
      </tp>
      <tp>
        <v>-10.3081</v>
        <stp/>
        <stp>##V3_BDHV12</stp>
        <stp>AMZN US Equity</stp>
        <stp>TCE_RATIO</stp>
        <stp>FQ4 1998</stp>
        <stp>FQ4 1998</stp>
        <stp>[FA1_j2ahgkxc.xlsx]Bal Sheet - Standardized!R67C3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7" s="3"/>
      </tp>
      <tp>
        <v>27.772200000000002</v>
        <stp/>
        <stp>##V3_BDHV12</stp>
        <stp>AMZN US Equity</stp>
        <stp>CHG_PCT_PERIOD</stp>
        <stp>FQ3 1999</stp>
        <stp>FQ3 1999</stp>
        <stp>[FA1_j2ahgkxc.xlsx]Stock Value!R7C5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6"/>
      </tp>
      <tp>
        <v>-109.071</v>
        <stp/>
        <stp>##V3_BDHV12</stp>
        <stp>AMZN US Equity</stp>
        <stp>EBITA</stp>
        <stp>FQ2 1999</stp>
        <stp>FQ2 1999</stp>
        <stp>[FA1_j2ahgkxc.xlsx]Income - Adjusted!R48C5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8" s="2"/>
      </tp>
      <tp t="s">
        <v>—</v>
        <stp/>
        <stp>##V3_BDHV12</stp>
        <stp>AMZN US Equity</stp>
        <stp>INVTRY_FINISHED_GOODS</stp>
        <stp>FQ4 2008</stp>
        <stp>FQ4 2008</stp>
        <stp>[FA1_j2ahgkxc.xlsx]Bal Sheet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3"/>
      </tp>
      <tp>
        <v>383</v>
        <stp/>
        <stp>##V3_BDHV12</stp>
        <stp>AMZN US Equity</stp>
        <stp>INVTRY_FINISHED_GOODS</stp>
        <stp>FQ2 2005</stp>
        <stp>FQ2 2005</stp>
        <stp>[FA1_j2ahgkxc.xlsx]Bal Sheet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3"/>
      </tp>
      <tp>
        <v>-0.2429</v>
        <stp/>
        <stp>##V3_BDHV12</stp>
        <stp>AMZN US Equity</stp>
        <stp>OPER_INC_PER_SH</stp>
        <stp>FQ4 1999</stp>
        <stp>FQ4 1999</stp>
        <stp>[FA1_j2ahgkxc.xlsx]Per Share!R13C7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3" s="5"/>
      </tp>
      <tp>
        <v>-0.49730000000000002</v>
        <stp/>
        <stp>##V3_BDHV12</stp>
        <stp>AMZN US Equity</stp>
        <stp>OPER_INC_PER_SH</stp>
        <stp>FQ3 1999</stp>
        <stp>FQ3 1999</stp>
        <stp>[FA1_j2ahgkxc.xlsx]Per Share!R13C6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3" s="5"/>
      </tp>
      <tp>
        <v>-0.33839999999999998</v>
        <stp/>
        <stp>##V3_BDHV12</stp>
        <stp>AMZN US Equity</stp>
        <stp>OPER_INC_PER_SH</stp>
        <stp>FQ2 1999</stp>
        <stp>FQ2 1999</stp>
        <stp>[FA1_j2ahgkxc.xlsx]Per Share!R13C5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3" s="5"/>
      </tp>
      <tp>
        <v>-0.16439999999999999</v>
        <stp/>
        <stp>##V3_BDHV12</stp>
        <stp>AMZN US Equity</stp>
        <stp>OPER_INC_PER_SH</stp>
        <stp>FQ1 1999</stp>
        <stp>FQ1 1999</stp>
        <stp>[FA1_j2ahgkxc.xlsx]Per Share!R13C4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3" s="5"/>
      </tp>
      <tp>
        <v>173.03</v>
        <stp/>
        <stp>##V3_BDHV12</stp>
        <stp>AMZN US Equity</stp>
        <stp>INVTRY_FINISHED_GOODS</stp>
        <stp>FQ1 2003</stp>
        <stp>FQ1 2003</stp>
        <stp>[FA1_j2ahgkxc.xlsx]Bal Sheet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3"/>
      </tp>
      <tp t="s">
        <v>—</v>
        <stp/>
        <stp>##V3_BDHV12</stp>
        <stp>AMZN US Equity</stp>
        <stp>BS_ACCUM_DEPR</stp>
        <stp>FQ1 2008</stp>
        <stp>FQ1 2008</stp>
        <stp>[FA1_j2ahgkxc.xlsx]Bal Sheet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3"/>
      </tp>
      <tp>
        <v>159.102</v>
        <stp/>
        <stp>##V3_BDHV12</stp>
        <stp>AMZN US Equity</stp>
        <stp>BS_ACCUM_DEPR</stp>
        <stp>FQ3 2001</stp>
        <stp>FQ3 2001</stp>
        <stp>[FA1_j2ahgkxc.xlsx]Bal Sheet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3"/>
      </tp>
      <tp>
        <v>736</v>
        <stp/>
        <stp>##V3_BDHV12</stp>
        <stp>AMZN US Equity</stp>
        <stp>INVTRY_FINISHED_GOODS</stp>
        <stp>FQ3 2006</stp>
        <stp>FQ3 2006</stp>
        <stp>[FA1_j2ahgkxc.xlsx]Bal Sheet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3"/>
      </tp>
      <tp>
        <v>138.99600000000001</v>
        <stp/>
        <stp>##V3_BDHV12</stp>
        <stp>AMZN US Equity</stp>
        <stp>INVTRY_FINISHED_GOODS</stp>
        <stp>FQ1 2002</stp>
        <stp>FQ1 2002</stp>
        <stp>[FA1_j2ahgkxc.xlsx]Bal Sheet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3"/>
      </tp>
      <tp t="s">
        <v>—</v>
        <stp/>
        <stp>##V3_BDHV12</stp>
        <stp>AMZN US Equity</stp>
        <stp>BS_ACCUM_DEPR</stp>
        <stp>FQ1 2007</stp>
        <stp>FQ1 2007</stp>
        <stp>[FA1_j2ahgkxc.xlsx]Bal Sheet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3"/>
      </tp>
      <tp>
        <v>178.107</v>
        <stp/>
        <stp>##V3_BDHV12</stp>
        <stp>AMZN US Equity</stp>
        <stp>INVTRY_FINISHED_GOODS</stp>
        <stp>FQ2 2003</stp>
        <stp>FQ2 2003</stp>
        <stp>[FA1_j2ahgkxc.xlsx]Bal Sheet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3"/>
      </tp>
      <tp>
        <v>155.56200000000001</v>
        <stp/>
        <stp>##V3_BDHV12</stp>
        <stp>AMZN US Equity</stp>
        <stp>INVTRY_FINISHED_GOODS</stp>
        <stp>FQ1 2001</stp>
        <stp>FQ1 2001</stp>
        <stp>[FA1_j2ahgkxc.xlsx]Bal Sheet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3"/>
      </tp>
      <tp t="s">
        <v>—</v>
        <stp/>
        <stp>##V3_BDHV12</stp>
        <stp>AMZN US Equity</stp>
        <stp>BS_ACCUM_DEPR</stp>
        <stp>FQ1 2006</stp>
        <stp>FQ1 2006</stp>
        <stp>[FA1_j2ahgkxc.xlsx]Bal Sheet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3"/>
      </tp>
      <tp>
        <v>284.19400000000002</v>
        <stp/>
        <stp>##V3_BDHV12</stp>
        <stp>AMZN US Equity</stp>
        <stp>INVTRY_FINISHED_GOODS</stp>
        <stp>FQ2 2004</stp>
        <stp>FQ2 2004</stp>
        <stp>[FA1_j2ahgkxc.xlsx]Bal Sheet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3"/>
      </tp>
      <tp t="s">
        <v>—</v>
        <stp/>
        <stp>##V3_BDHV12</stp>
        <stp>AMZN US Equity</stp>
        <stp>BS_ACCUM_DEPR</stp>
        <stp>FQ3 2002</stp>
        <stp>FQ3 2002</stp>
        <stp>[FA1_j2ahgkxc.xlsx]Bal Sheet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3"/>
      </tp>
      <tp>
        <v>0</v>
        <stp/>
        <stp>##V3_BDHV12</stp>
        <stp>AMZN US Equity</stp>
        <stp>INVTRY_FINISHED_GOODS</stp>
        <stp>FQ3 2007</stp>
        <stp>FQ3 2007</stp>
        <stp>[FA1_j2ahgkxc.xlsx]Bal Sheet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3"/>
      </tp>
      <tp>
        <v>0</v>
        <stp/>
        <stp>##V3_BDHV12</stp>
        <stp>AMZN US Equity</stp>
        <stp>IS_INC_TAX_EXP</stp>
        <stp>FQ4 1998</stp>
        <stp>FQ4 1998</stp>
        <stp>[FA1_j2ahgkxc.xlsx]Income - Adjusted!R21C3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1" s="2"/>
      </tp>
      <tp>
        <v>667</v>
        <stp/>
        <stp>##V3_BDHV12</stp>
        <stp>AMZN US Equity</stp>
        <stp>GROSS_PROFIT</stp>
        <stp>FQ4 2005</stp>
        <stp>FQ4 2005</stp>
        <stp>[FA1_j2ahgkxc.xlsx]Income - Adjusted!R8C30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332.488</v>
        <stp/>
        <stp>##V3_BDHV12</stp>
        <stp>AMZN US Equity</stp>
        <stp>IS_AVG_NUM_SH_FOR_EPS</stp>
        <stp>FQ3 1999</stp>
        <stp>FQ3 1999</stp>
        <stp>[FA1_j2ahgkxc.xlsx]Income - Adjusted!R34C6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4" s="2"/>
      </tp>
      <tp>
        <v>313.79399999999998</v>
        <stp/>
        <stp>##V3_BDHV12</stp>
        <stp>AMZN US Equity</stp>
        <stp>IS_AVG_NUM_SH_FOR_EPS</stp>
        <stp>FQ1 1999</stp>
        <stp>FQ1 1999</stp>
        <stp>[FA1_j2ahgkxc.xlsx]Income - Adjusted!R34C4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4" s="2"/>
      </tp>
      <tp>
        <v>274.04899999999998</v>
        <stp/>
        <stp>##V3_BDHV12</stp>
        <stp>AMZN US Equity</stp>
        <stp>GROSS_PROFIT</stp>
        <stp>FQ4 2001</stp>
        <stp>FQ4 2001</stp>
        <stp>[FA1_j2ahgkxc.xlsx]Income - Adjusted!R8C14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182.59700000000001</v>
        <stp/>
        <stp>##V3_BDHV12</stp>
        <stp>AMZN US Equity</stp>
        <stp>GROSS_PROFIT</stp>
        <stp>FQ1 2001</stp>
        <stp>FQ1 2001</stp>
        <stp>[FA1_j2ahgkxc.xlsx]Income - Adjusted!R8C11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162.19200000000001</v>
        <stp/>
        <stp>##V3_BDHV12</stp>
        <stp>AMZN US Equity</stp>
        <stp>GROSS_PROFIT</stp>
        <stp>FQ3 2001</stp>
        <stp>FQ3 2001</stp>
        <stp>[FA1_j2ahgkxc.xlsx]Income - Adjusted!R8C13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179.72</v>
        <stp/>
        <stp>##V3_BDHV12</stp>
        <stp>AMZN US Equity</stp>
        <stp>GROSS_PROFIT</stp>
        <stp>FQ2 2001</stp>
        <stp>FQ2 2001</stp>
        <stp>[FA1_j2ahgkxc.xlsx]Income - Adjusted!R8C12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273.928</v>
        <stp/>
        <stp>##V3_BDHV12</stp>
        <stp>AMZN US Equity</stp>
        <stp>GROSS_PROFIT</stp>
        <stp>FQ2 2003</stp>
        <stp>FQ2 2003</stp>
        <stp>[FA1_j2ahgkxc.xlsx]Income - Adjusted!R8C20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>
        <v>285.82100000000003</v>
        <stp/>
        <stp>##V3_BDHV12</stp>
        <stp>AMZN US Equity</stp>
        <stp>GROSS_PROFIT</stp>
        <stp>FQ3 2003</stp>
        <stp>FQ3 2003</stp>
        <stp>[FA1_j2ahgkxc.xlsx]Income - Adjusted!R8C21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-0.26</v>
        <stp/>
        <stp>##V3_BDHV12</stp>
        <stp>AMZN US Equity</stp>
        <stp>IS_BASIC_EPS_CONT_OPS</stp>
        <stp>FQ3 1999</stp>
        <stp>FQ3 1999</stp>
        <stp>[FA1_j2ahgkxc.xlsx]Income - Adjusted!R37C6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7" s="2"/>
      </tp>
      <tp>
        <v>-0.115</v>
        <stp/>
        <stp>##V3_BDHV12</stp>
        <stp>AMZN US Equity</stp>
        <stp>IS_BASIC_EPS_CONT_OPS</stp>
        <stp>FQ1 1999</stp>
        <stp>FQ1 1999</stp>
        <stp>[FA1_j2ahgkxc.xlsx]Income - Adjusted!R37C4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7" s="2"/>
      </tp>
      <tp>
        <v>1313</v>
        <stp/>
        <stp>##V3_BDHV12</stp>
        <stp>AMZN US Equity</stp>
        <stp>BS_CUR_LIAB</stp>
        <stp>FQ3 2005</stp>
        <stp>FQ3 2005</stp>
        <stp>[FA1_j2ahgkxc.xlsx]Bal Sheet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3"/>
      </tp>
      <tp>
        <v>1936</v>
        <stp/>
        <stp>##V3_BDHV12</stp>
        <stp>AMZN US Equity</stp>
        <stp>BS_CUR_LIAB</stp>
        <stp>FQ2 2007</stp>
        <stp>FQ2 2007</stp>
        <stp>[FA1_j2ahgkxc.xlsx]Bal Sheet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3"/>
      </tp>
      <tp>
        <v>1051.0228999999999</v>
        <stp/>
        <stp>##V3_BDHV12</stp>
        <stp>AMZN US Equity</stp>
        <stp>BS_CUR_LIAB</stp>
        <stp>FQ3 2004</stp>
        <stp>FQ3 2004</stp>
        <stp>[FA1_j2ahgkxc.xlsx]Bal Sheet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3"/>
      </tp>
      <tp>
        <v>826.75</v>
        <stp/>
        <stp>##V3_BDHV12</stp>
        <stp>AMZN US Equity</stp>
        <stp>BS_CUR_LIAB</stp>
        <stp>FQ3 2003</stp>
        <stp>FQ3 2003</stp>
        <stp>[FA1_j2ahgkxc.xlsx]Bal Sheet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3"/>
      </tp>
      <tp>
        <v>313.79399999999998</v>
        <stp/>
        <stp>##V3_BDHV12</stp>
        <stp>AMZN US Equity</stp>
        <stp>IS_SH_FOR_DILUTED_EPS</stp>
        <stp>FQ1 1999</stp>
        <stp>FQ1 1999</stp>
        <stp>[FA1_j2ahgkxc.xlsx]Income - Adjusted!R39C4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9" s="2"/>
      </tp>
      <tp>
        <v>332.488</v>
        <stp/>
        <stp>##V3_BDHV12</stp>
        <stp>AMZN US Equity</stp>
        <stp>IS_SH_FOR_DILUTED_EPS</stp>
        <stp>FQ3 1999</stp>
        <stp>FQ3 1999</stp>
        <stp>[FA1_j2ahgkxc.xlsx]Income - Adjusted!R39C6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9" s="2"/>
      </tp>
      <tp>
        <v>1458</v>
        <stp/>
        <stp>##V3_BDHV12</stp>
        <stp>AMZN US Equity</stp>
        <stp>BS_CUR_LIAB</stp>
        <stp>FQ2 2006</stp>
        <stp>FQ2 2006</stp>
        <stp>[FA1_j2ahgkxc.xlsx]Bal Sheet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3"/>
      </tp>
      <tp>
        <v>14</v>
        <stp/>
        <stp>##V3_BDHV12</stp>
        <stp>AMZN US Equity</stp>
        <stp>IS_INT_INC</stp>
        <stp>FQ3 2006</stp>
        <stp>FQ3 2006</stp>
        <stp>[FA1_j2ahgkxc.xlsx]Income - Adjusted!R15C33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5" s="2"/>
      </tp>
      <tp>
        <v>5.6</v>
        <stp/>
        <stp>##V3_BDHV12</stp>
        <stp>AMZN US Equity</stp>
        <stp>IS_INT_INC</stp>
        <stp>FQ3 2002</stp>
        <stp>FQ3 2002</stp>
        <stp>[FA1_j2ahgkxc.xlsx]Income - Adjusted!R15C17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5" s="2"/>
      </tp>
      <tp>
        <v>6.03</v>
        <stp/>
        <stp>##V3_BDHV12</stp>
        <stp>AMZN US Equity</stp>
        <stp>IS_INT_INC</stp>
        <stp>FQ4 2001</stp>
        <stp>FQ4 2001</stp>
        <stp>[FA1_j2ahgkxc.xlsx]Income - Adjusted!R15C14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5" s="2"/>
      </tp>
      <tp>
        <v>14</v>
        <stp/>
        <stp>##V3_BDHV12</stp>
        <stp>AMZN US Equity</stp>
        <stp>IS_INT_INC</stp>
        <stp>FQ4 2005</stp>
        <stp>FQ4 2005</stp>
        <stp>[FA1_j2ahgkxc.xlsx]Income - Adjusted!R15C30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5" s="2"/>
      </tp>
      <tp>
        <v>0</v>
        <stp/>
        <stp>##V3_BDHV12</stp>
        <stp>AMZN US Equity</stp>
        <stp>OTHER_ADJUSTMENTS</stp>
        <stp>FQ2 2007</stp>
        <stp>FQ2 2007</stp>
        <stp>[FA1_j2ahgkxc.xlsx]Income - Adjusted!R28C36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2"/>
      </tp>
      <tp>
        <v>0</v>
        <stp/>
        <stp>##V3_BDHV12</stp>
        <stp>AMZN US Equity</stp>
        <stp>OTHER_ADJUSTMENTS</stp>
        <stp>FQ1 2005</stp>
        <stp>FQ1 2005</stp>
        <stp>[FA1_j2ahgkxc.xlsx]Income - Adjusted!R28C27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2"/>
      </tp>
      <tp>
        <v>0</v>
        <stp/>
        <stp>##V3_BDHV12</stp>
        <stp>AMZN US Equity</stp>
        <stp>OTHER_ADJUSTMENTS</stp>
        <stp>FQ3 2006</stp>
        <stp>FQ3 2006</stp>
        <stp>[FA1_j2ahgkxc.xlsx]Income - Adjusted!R28C33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2"/>
      </tp>
      <tp>
        <v>-27.332100000000001</v>
        <stp/>
        <stp>##V3_BDHV12</stp>
        <stp>AMZN US Equity</stp>
        <stp>CHG_PCT_PERIOD</stp>
        <stp>FQ2 1999</stp>
        <stp>FQ2 1999</stp>
        <stp>[FA1_j2ahgkxc.xlsx]Stock Value!R7C4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6"/>
      </tp>
      <tp>
        <v>2.4651999999999998</v>
        <stp/>
        <stp>##V3_BDHV12</stp>
        <stp>AMZN US Equity</stp>
        <stp>CASH_ST_INVESTMENTS_PER_SH</stp>
        <stp>FQ1 2004</stp>
        <stp>FQ1 2004</stp>
        <stp>[FA1_j2ahgkxc.xlsx]Per Share!R25C23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5" s="5"/>
      </tp>
      <tp>
        <v>3.1989999999999998</v>
        <stp/>
        <stp>##V3_BDHV12</stp>
        <stp>AMZN US Equity</stp>
        <stp>CASH_ST_INVESTMENTS_PER_SH</stp>
        <stp>FQ1 2006</stp>
        <stp>FQ1 2006</stp>
        <stp>[FA1_j2ahgkxc.xlsx]Per Share!R25C31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5" s="5"/>
      </tp>
      <tp>
        <v>1.9868000000000001</v>
        <stp/>
        <stp>##V3_BDHV12</stp>
        <stp>AMZN US Equity</stp>
        <stp>CASH_ST_INVESTMENTS_PER_SH</stp>
        <stp>FQ1 2002</stp>
        <stp>FQ1 2002</stp>
        <stp>[FA1_j2ahgkxc.xlsx]Per Share!R25C15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5" s="5"/>
      </tp>
      <tp t="s">
        <v>—</v>
        <stp/>
        <stp>##V3_BDHV12</stp>
        <stp>AMZN US Equity</stp>
        <stp>EBITA</stp>
        <stp>FQ4 1998</stp>
        <stp>FQ4 1998</stp>
        <stp>[FA1_j2ahgkxc.xlsx]Income - Adjusted!R48C3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8" s="2"/>
      </tp>
      <tp>
        <v>2704.1260000000002</v>
        <stp/>
        <stp>##V3_BDHV12</stp>
        <stp>AMZN US Equity</stp>
        <stp>BS_TOT_LIAB2</stp>
        <stp>FQ1 2000</stp>
        <stp>FQ1 2000</stp>
        <stp>[FA1_j2ahgkxc.xlsx]Bal Sheet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3"/>
      </tp>
      <tp>
        <v>2741.7939999999999</v>
        <stp/>
        <stp>##V3_BDHV12</stp>
        <stp>AMZN US Equity</stp>
        <stp>BS_TOT_LIAB2</stp>
        <stp>FQ3 2000</stp>
        <stp>FQ3 2000</stp>
        <stp>[FA1_j2ahgkxc.xlsx]Bal Sheet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3"/>
      </tp>
      <tp>
        <v>456</v>
        <stp/>
        <stp>##V3_BDHV12</stp>
        <stp>AMZN US Equity</stp>
        <stp>INVTRY_FINISHED_GOODS</stp>
        <stp>FQ3 2005</stp>
        <stp>FQ3 2005</stp>
        <stp>[FA1_j2ahgkxc.xlsx]Bal Sheet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3"/>
      </tp>
      <tp>
        <v>-5.8299999999999998E-2</v>
        <stp/>
        <stp>##V3_BDHV12</stp>
        <stp>AMZN US Equity</stp>
        <stp>OPER_INC_PER_SH</stp>
        <stp>FQ4 1998</stp>
        <stp>FQ4 1998</stp>
        <stp>[FA1_j2ahgkxc.xlsx]Per Share!R13C3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3" s="5"/>
      </tp>
      <tp>
        <v>137.76599999999999</v>
        <stp/>
        <stp>##V3_BDHV12</stp>
        <stp>AMZN US Equity</stp>
        <stp>BS_ACCUM_DEPR</stp>
        <stp>FQ2 2001</stp>
        <stp>FQ2 2001</stp>
        <stp>[FA1_j2ahgkxc.xlsx]Bal Sheet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3"/>
      </tp>
      <tp>
        <v>521</v>
        <stp/>
        <stp>##V3_BDHV12</stp>
        <stp>AMZN US Equity</stp>
        <stp>INVTRY_FINISHED_GOODS</stp>
        <stp>FQ2 2006</stp>
        <stp>FQ2 2006</stp>
        <stp>[FA1_j2ahgkxc.xlsx]Bal Sheet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3"/>
      </tp>
      <tp t="s">
        <v>—</v>
        <stp/>
        <stp>##V3_BDHV12</stp>
        <stp>AMZN US Equity</stp>
        <stp>BS_ACCUM_DEPR</stp>
        <stp>FQ1 2005</stp>
        <stp>FQ1 2005</stp>
        <stp>[FA1_j2ahgkxc.xlsx]Bal Sheet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3"/>
      </tp>
      <tp>
        <v>241.667</v>
        <stp/>
        <stp>##V3_BDHV12</stp>
        <stp>AMZN US Equity</stp>
        <stp>INVTRY_FINISHED_GOODS</stp>
        <stp>FQ3 2003</stp>
        <stp>FQ3 2003</stp>
        <stp>[FA1_j2ahgkxc.xlsx]Bal Sheet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3"/>
      </tp>
      <tp t="s">
        <v>—</v>
        <stp/>
        <stp>##V3_BDHV12</stp>
        <stp>AMZN US Equity</stp>
        <stp>BS_ACCUM_DEPR</stp>
        <stp>FQ1 2004</stp>
        <stp>FQ1 2004</stp>
        <stp>[FA1_j2ahgkxc.xlsx]Bal Sheet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3"/>
      </tp>
      <tp>
        <v>357.32</v>
        <stp/>
        <stp>##V3_BDHV12</stp>
        <stp>AMZN US Equity</stp>
        <stp>INVTRY_FINISHED_GOODS</stp>
        <stp>FQ3 2004</stp>
        <stp>FQ3 2004</stp>
        <stp>[FA1_j2ahgkxc.xlsx]Bal Sheet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3"/>
      </tp>
      <tp t="s">
        <v>—</v>
        <stp/>
        <stp>##V3_BDHV12</stp>
        <stp>AMZN US Equity</stp>
        <stp>BS_ACCUM_DEPR</stp>
        <stp>FQ2 2002</stp>
        <stp>FQ2 2002</stp>
        <stp>[FA1_j2ahgkxc.xlsx]Bal Sheet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3"/>
      </tp>
      <tp>
        <v>735</v>
        <stp/>
        <stp>##V3_BDHV12</stp>
        <stp>AMZN US Equity</stp>
        <stp>INVTRY_FINISHED_GOODS</stp>
        <stp>FQ2 2007</stp>
        <stp>FQ2 2007</stp>
        <stp>[FA1_j2ahgkxc.xlsx]Bal Sheet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3"/>
      </tp>
      <tp t="s">
        <v>—</v>
        <stp/>
        <stp>##V3_BDHV12</stp>
        <stp>AMZN US Equity</stp>
        <stp>IS_IMPAIRMENT_GOODWILL_INTANGIBL</stp>
        <stp>FQ1 2008</stp>
        <stp>FQ1 2008</stp>
        <stp>[FA1_j2ahgkxc.xlsx]Income - Adjusted!R19C39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9" s="2"/>
      </tp>
      <tp>
        <v>0</v>
        <stp/>
        <stp>##V3_BDHV12</stp>
        <stp>AMZN US Equity</stp>
        <stp>IS_INC_TAX_EXP</stp>
        <stp>FQ2 1999</stp>
        <stp>FQ2 1999</stp>
        <stp>[FA1_j2ahgkxc.xlsx]Income - Adjusted!R21C5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1" s="2"/>
      </tp>
      <tp>
        <v>956</v>
        <stp/>
        <stp>##V3_BDHV12</stp>
        <stp>AMZN US Equity</stp>
        <stp>GROSS_PROFIT</stp>
        <stp>FQ1 2008</stp>
        <stp>FQ1 2008</stp>
        <stp>[FA1_j2ahgkxc.xlsx]Income - Adjusted!R8C39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8" s="2"/>
      </tp>
      <tp>
        <v>698.57899999999995</v>
        <stp/>
        <stp>##V3_BDHV12</stp>
        <stp>AMZN US Equity</stp>
        <stp>BS_CUR_LIAB</stp>
        <stp>FQ1 2003</stp>
        <stp>FQ1 2003</stp>
        <stp>[FA1_j2ahgkxc.xlsx]Bal Sheet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3"/>
      </tp>
      <tp>
        <v>1144</v>
        <stp/>
        <stp>##V3_BDHV12</stp>
        <stp>AMZN US Equity</stp>
        <stp>BS_CUR_LIAB</stp>
        <stp>FQ2 2005</stp>
        <stp>FQ2 2005</stp>
        <stp>[FA1_j2ahgkxc.xlsx]Bal Sheet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3"/>
      </tp>
      <tp>
        <v>0</v>
        <stp/>
        <stp>##V3_BDHV12</stp>
        <stp>AMZN US Equity</stp>
        <stp>XO_GL_NET_OF_TAX</stp>
        <stp>FQ1 2000</stp>
        <stp>FQ1 2000</stp>
        <stp>[FA1_j2ahgkxc.xlsx]Income - Adjusted!R32C8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2"/>
      </tp>
      <tp>
        <v>0</v>
        <stp/>
        <stp>##V3_BDHV12</stp>
        <stp>AMZN US Equity</stp>
        <stp>XO_GL_NET_OF_TAX</stp>
        <stp>FQ1 2000</stp>
        <stp>FQ1 2000</stp>
        <stp>[FA1_j2ahgkxc.xlsx]Income - Adjusted!R23C8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2"/>
      </tp>
      <tp>
        <v>4746</v>
        <stp/>
        <stp>##V3_BDHV12</stp>
        <stp>AMZN US Equity</stp>
        <stp>BS_CUR_LIAB</stp>
        <stp>FQ4 2008</stp>
        <stp>FQ4 2008</stp>
        <stp>[FA1_j2ahgkxc.xlsx]Bal Sheet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3"/>
      </tp>
      <tp>
        <v>2319</v>
        <stp/>
        <stp>##V3_BDHV12</stp>
        <stp>AMZN US Equity</stp>
        <stp>BS_CUR_LIAB</stp>
        <stp>FQ3 2007</stp>
        <stp>FQ3 2007</stp>
        <stp>[FA1_j2ahgkxc.xlsx]Bal Sheet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3"/>
      </tp>
      <tp>
        <v>0</v>
        <stp/>
        <stp>##V3_BDHV12</stp>
        <stp>AMZN US Equity</stp>
        <stp>XO_GL_NET_OF_TAX</stp>
        <stp>FQ1 1999</stp>
        <stp>FQ1 1999</stp>
        <stp>[FA1_j2ahgkxc.xlsx]Income - Adjusted!R32C4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2"/>
      </tp>
      <tp>
        <v>0</v>
        <stp/>
        <stp>##V3_BDHV12</stp>
        <stp>AMZN US Equity</stp>
        <stp>XO_GL_NET_OF_TAX</stp>
        <stp>FQ1 1999</stp>
        <stp>FQ1 1999</stp>
        <stp>[FA1_j2ahgkxc.xlsx]Income - Adjusted!R23C4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2"/>
      </tp>
      <tp>
        <v>916.35400000000004</v>
        <stp/>
        <stp>##V3_BDHV12</stp>
        <stp>AMZN US Equity</stp>
        <stp>BS_CUR_LIAB</stp>
        <stp>FQ2 2004</stp>
        <stp>FQ2 2004</stp>
        <stp>[FA1_j2ahgkxc.xlsx]Bal Sheet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3"/>
      </tp>
      <tp>
        <v>769.38400000000001</v>
        <stp/>
        <stp>##V3_BDHV12</stp>
        <stp>AMZN US Equity</stp>
        <stp>BS_CUR_LIAB</stp>
        <stp>FQ2 2003</stp>
        <stp>FQ2 2003</stp>
        <stp>[FA1_j2ahgkxc.xlsx]Bal Sheet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3"/>
      </tp>
      <tp>
        <v>604.71</v>
        <stp/>
        <stp>##V3_BDHV12</stp>
        <stp>AMZN US Equity</stp>
        <stp>BS_CUR_LIAB</stp>
        <stp>FQ1 2001</stp>
        <stp>FQ1 2001</stp>
        <stp>[FA1_j2ahgkxc.xlsx]Bal Sheet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3"/>
      </tp>
      <tp>
        <v>657.03</v>
        <stp/>
        <stp>##V3_BDHV12</stp>
        <stp>AMZN US Equity</stp>
        <stp>BS_CUR_LIAB</stp>
        <stp>FQ1 2002</stp>
        <stp>FQ1 2002</stp>
        <stp>[FA1_j2ahgkxc.xlsx]Bal Sheet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3"/>
      </tp>
      <tp>
        <v>1768</v>
        <stp/>
        <stp>##V3_BDHV12</stp>
        <stp>AMZN US Equity</stp>
        <stp>BS_CUR_LIAB</stp>
        <stp>FQ3 2006</stp>
        <stp>FQ3 2006</stp>
        <stp>[FA1_j2ahgkxc.xlsx]Bal Sheet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3"/>
      </tp>
      <tp t="s">
        <v>—</v>
        <stp/>
        <stp>##V3_BDHV12</stp>
        <stp>AMZN US Equity</stp>
        <stp>CASH_CONVERSION_CYCLE</stp>
        <stp>FQ4 1998</stp>
        <stp>FQ4 1998</stp>
        <stp>[FA1_j2ahgkxc.xlsx]Bal Sheet - Standardized!R69C3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69" s="3"/>
      </tp>
      <tp>
        <v>0</v>
        <stp/>
        <stp>##V3_BDHV12</stp>
        <stp>AMZN US Equity</stp>
        <stp>OTHER_ADJUSTMENTS</stp>
        <stp>FQ3 2004</stp>
        <stp>FQ3 2004</stp>
        <stp>[FA1_j2ahgkxc.xlsx]Income - Adjusted!R28C25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2"/>
      </tp>
      <tp>
        <v>0</v>
        <stp/>
        <stp>##V3_BDHV12</stp>
        <stp>AMZN US Equity</stp>
        <stp>OTHER_ADJUSTMENTS</stp>
        <stp>FQ4 2003</stp>
        <stp>FQ4 2003</stp>
        <stp>[FA1_j2ahgkxc.xlsx]Income - Adjusted!R28C22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2"/>
      </tp>
      <tp>
        <v>0</v>
        <stp/>
        <stp>##V3_BDHV12</stp>
        <stp>AMZN US Equity</stp>
        <stp>OTHER_ADJUSTMENTS</stp>
        <stp>FQ4 2000</stp>
        <stp>FQ4 2000</stp>
        <stp>[FA1_j2ahgkxc.xlsx]Income - Adjusted!R28C10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2"/>
      </tp>
      <tp>
        <v>0</v>
        <stp/>
        <stp>##V3_BDHV12</stp>
        <stp>AMZN US Equity</stp>
        <stp>OTHER_ADJUSTMENTS</stp>
        <stp>FQ1 2007</stp>
        <stp>FQ1 2007</stp>
        <stp>[FA1_j2ahgkxc.xlsx]Income - Adjusted!R28C35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2"/>
      </tp>
      <tp>
        <v>0</v>
        <stp/>
        <stp>##V3_BDHV12</stp>
        <stp>AMZN US Equity</stp>
        <stp>OTHER_ADJUSTMENTS</stp>
        <stp>FQ2 2005</stp>
        <stp>FQ2 2005</stp>
        <stp>[FA1_j2ahgkxc.xlsx]Income - Adjusted!R28C28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2"/>
      </tp>
      <tp>
        <v>116.37</v>
        <stp/>
        <stp>##V3_BDHV12</stp>
        <stp>AMZN US Equity</stp>
        <stp>IS_OPERATING_EXPN</stp>
        <stp>FQ1 1999</stp>
        <stp>FQ1 1999</stp>
        <stp>[FA1_j2ahgkxc.xlsx]Income - Adjusted!R9C4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235.80699999999999</v>
        <stp/>
        <stp>##V3_BDHV12</stp>
        <stp>AMZN US Equity</stp>
        <stp>IS_OPERATING_EXPN</stp>
        <stp>FQ3 1999</stp>
        <stp>FQ3 1999</stp>
        <stp>[FA1_j2ahgkxc.xlsx]Income - Adjusted!R9C6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-18.646100000000001</v>
        <stp/>
        <stp>##V3_BDHV12</stp>
        <stp>AMZN US Equity</stp>
        <stp>TCE_RATIO</stp>
        <stp>FQ3 1999</stp>
        <stp>FQ3 1999</stp>
        <stp>[FA1_j2ahgkxc.xlsx]Bal Sheet - Standardized!R67C6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7" s="3"/>
      </tp>
      <tp>
        <v>-6.7447999999999997</v>
        <stp/>
        <stp>##V3_BDHV12</stp>
        <stp>AMZN US Equity</stp>
        <stp>TCE_RATIO</stp>
        <stp>FQ1 1999</stp>
        <stp>FQ1 1999</stp>
        <stp>[FA1_j2ahgkxc.xlsx]Bal Sheet - Standardized!R67C4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7" s="3"/>
      </tp>
      <tp t="s">
        <v>—</v>
        <stp/>
        <stp>##V3_BDHV12</stp>
        <stp>AMZN US Equity</stp>
        <stp>BS_TOTAL_CAPITAL_LEASES</stp>
        <stp>FQ4 1999</stp>
        <stp>FQ4 1999</stp>
        <stp>[FA1_j2ahgkxc.xlsx]Bal Sheet - Standardized!R62C7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2" s="3"/>
      </tp>
      <tp t="s">
        <v>—</v>
        <stp/>
        <stp>##V3_BDHV12</stp>
        <stp>AMZN US Equity</stp>
        <stp>BS_TOTAL_CAPITAL_LEASES</stp>
        <stp>FQ2 1999</stp>
        <stp>FQ2 1999</stp>
        <stp>[FA1_j2ahgkxc.xlsx]Bal Sheet - Standardized!R62C5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2" s="3"/>
      </tp>
      <tp t="s">
        <v>—</v>
        <stp/>
        <stp>##V3_BDHV12</stp>
        <stp>AMZN US Equity</stp>
        <stp>BS_TOTAL_CAPITAL_LEASES</stp>
        <stp>FQ4 1998</stp>
        <stp>FQ4 1998</stp>
        <stp>[FA1_j2ahgkxc.xlsx]Bal Sheet - Standardized!R62C3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2" s="3"/>
      </tp>
      <tp t="s">
        <v>—</v>
        <stp/>
        <stp>##V3_BDHV12</stp>
        <stp>AMZN US Equity</stp>
        <stp>BS_TOTAL_CAPITAL_LEASES</stp>
        <stp>FQ1 1999</stp>
        <stp>FQ1 1999</stp>
        <stp>[FA1_j2ahgkxc.xlsx]Bal Sheet - Standardized!R62C4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2" s="3"/>
      </tp>
      <tp t="s">
        <v>—</v>
        <stp/>
        <stp>##V3_BDHV12</stp>
        <stp>AMZN US Equity</stp>
        <stp>BS_TOTAL_CAPITAL_LEASES</stp>
        <stp>FQ3 1999</stp>
        <stp>FQ3 1999</stp>
        <stp>[FA1_j2ahgkxc.xlsx]Bal Sheet - Standardized!R62C6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2" s="3"/>
      </tp>
      <tp>
        <v>3.3866000000000001</v>
        <stp/>
        <stp>##V3_BDHV12</stp>
        <stp>AMZN US Equity</stp>
        <stp>CASH_ST_INVESTMENTS_PER_SH</stp>
        <stp>FQ2 2006</stp>
        <stp>FQ2 2006</stp>
        <stp>[FA1_j2ahgkxc.xlsx]Per Share!R25C32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5" s="5"/>
      </tp>
      <tp>
        <v>2.1656</v>
        <stp/>
        <stp>##V3_BDHV12</stp>
        <stp>AMZN US Equity</stp>
        <stp>CASH_ST_INVESTMENTS_PER_SH</stp>
        <stp>FQ2 2002</stp>
        <stp>FQ2 2002</stp>
        <stp>[FA1_j2ahgkxc.xlsx]Per Share!R25C16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5" s="5"/>
      </tp>
      <tp>
        <v>-79.188000000000002</v>
        <stp/>
        <stp>##V3_BDHV12</stp>
        <stp>AMZN US Equity</stp>
        <stp>EBITA</stp>
        <stp>FQ3 1999</stp>
        <stp>FQ3 1999</stp>
        <stp>[FA1_j2ahgkxc.xlsx]Income - Adjusted!R48C6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8" s="2"/>
      </tp>
      <tp>
        <v>-51.579000000000001</v>
        <stp/>
        <stp>##V3_BDHV12</stp>
        <stp>AMZN US Equity</stp>
        <stp>EBITA</stp>
        <stp>FQ1 1999</stp>
        <stp>FQ1 1999</stp>
        <stp>[FA1_j2ahgkxc.xlsx]Income - Adjusted!R48C4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8" s="2"/>
      </tp>
      <tp t="s">
        <v>—</v>
        <stp/>
        <stp>##V3_BDHV12</stp>
        <stp>AMZN US Equity</stp>
        <stp>BS_ACCUM_DEPR</stp>
        <stp>FQ1 2003</stp>
        <stp>FQ1 2003</stp>
        <stp>[FA1_j2ahgkxc.xlsx]Bal Sheet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3"/>
      </tp>
      <tp>
        <v>555</v>
        <stp/>
        <stp>##V3_BDHV12</stp>
        <stp>AMZN US Equity</stp>
        <stp>BS_ACCUM_DEPR</stp>
        <stp>FQ4 2008</stp>
        <stp>FQ4 2008</stp>
        <stp>[FA1_j2ahgkxc.xlsx]Bal Sheet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3"/>
      </tp>
      <tp t="s">
        <v>—</v>
        <stp/>
        <stp>##V3_BDHV12</stp>
        <stp>AMZN US Equity</stp>
        <stp>BS_ACCUM_DEPR</stp>
        <stp>FQ2 2005</stp>
        <stp>FQ2 2005</stp>
        <stp>[FA1_j2ahgkxc.xlsx]Bal Sheet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3"/>
      </tp>
      <tp t="s">
        <v>—</v>
        <stp/>
        <stp>##V3_BDHV12</stp>
        <stp>AMZN US Equity</stp>
        <stp>BS_ACCUM_DEPR</stp>
        <stp>FQ2 2003</stp>
        <stp>FQ2 2003</stp>
        <stp>[FA1_j2ahgkxc.xlsx]Bal Sheet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3"/>
      </tp>
      <tp>
        <v>120.992</v>
        <stp/>
        <stp>##V3_BDHV12</stp>
        <stp>AMZN US Equity</stp>
        <stp>BS_ACCUM_DEPR</stp>
        <stp>FQ1 2001</stp>
        <stp>FQ1 2001</stp>
        <stp>[FA1_j2ahgkxc.xlsx]Bal Sheet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3"/>
      </tp>
      <tp>
        <v>538</v>
        <stp/>
        <stp>##V3_BDHV12</stp>
        <stp>AMZN US Equity</stp>
        <stp>INVTRY_FINISHED_GOODS</stp>
        <stp>FQ1 2006</stp>
        <stp>FQ1 2006</stp>
        <stp>[FA1_j2ahgkxc.xlsx]Bal Sheet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3"/>
      </tp>
      <tp t="s">
        <v>—</v>
        <stp/>
        <stp>##V3_BDHV12</stp>
        <stp>AMZN US Equity</stp>
        <stp>BS_ACCUM_DEPR</stp>
        <stp>FQ2 2004</stp>
        <stp>FQ2 2004</stp>
        <stp>[FA1_j2ahgkxc.xlsx]Bal Sheet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3"/>
      </tp>
      <tp>
        <v>151.51400000000001</v>
        <stp/>
        <stp>##V3_BDHV12</stp>
        <stp>AMZN US Equity</stp>
        <stp>INVTRY_FINISHED_GOODS</stp>
        <stp>FQ3 2002</stp>
        <stp>FQ3 2002</stp>
        <stp>[FA1_j2ahgkxc.xlsx]Bal Sheet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3"/>
      </tp>
      <tp t="s">
        <v>—</v>
        <stp/>
        <stp>##V3_BDHV12</stp>
        <stp>AMZN US Equity</stp>
        <stp>BS_ACCUM_DEPR</stp>
        <stp>FQ3 2007</stp>
        <stp>FQ3 2007</stp>
        <stp>[FA1_j2ahgkxc.xlsx]Bal Sheet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3"/>
      </tp>
      <tp>
        <v>0</v>
        <stp/>
        <stp>##V3_BDHV12</stp>
        <stp>AMZN US Equity</stp>
        <stp>INVTRY_FINISHED_GOODS</stp>
        <stp>FQ1 2008</stp>
        <stp>FQ1 2008</stp>
        <stp>[FA1_j2ahgkxc.xlsx]Bal Sheet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3"/>
      </tp>
      <tp>
        <v>130.739</v>
        <stp/>
        <stp>##V3_BDHV12</stp>
        <stp>AMZN US Equity</stp>
        <stp>INVTRY_FINISHED_GOODS</stp>
        <stp>FQ3 2001</stp>
        <stp>FQ3 2001</stp>
        <stp>[FA1_j2ahgkxc.xlsx]Bal Sheet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3"/>
      </tp>
      <tp t="s">
        <v>—</v>
        <stp/>
        <stp>##V3_BDHV12</stp>
        <stp>AMZN US Equity</stp>
        <stp>BS_ACCUM_DEPR</stp>
        <stp>FQ3 2006</stp>
        <stp>FQ3 2006</stp>
        <stp>[FA1_j2ahgkxc.xlsx]Bal Sheet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3"/>
      </tp>
      <tp t="s">
        <v>—</v>
        <stp/>
        <stp>##V3_BDHV12</stp>
        <stp>AMZN US Equity</stp>
        <stp>BS_ACCUM_DEPR</stp>
        <stp>FQ1 2002</stp>
        <stp>FQ1 2002</stp>
        <stp>[FA1_j2ahgkxc.xlsx]Bal Sheet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3"/>
      </tp>
      <tp>
        <v>0</v>
        <stp/>
        <stp>##V3_BDHV12</stp>
        <stp>AMZN US Equity</stp>
        <stp>INVTRY_FINISHED_GOODS</stp>
        <stp>FQ1 2007</stp>
        <stp>FQ1 2007</stp>
        <stp>[FA1_j2ahgkxc.xlsx]Bal Sheet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3"/>
      </tp>
      <tp>
        <v>-53</v>
        <stp/>
        <stp>##V3_BDHV12</stp>
        <stp>AMZN US Equity</stp>
        <stp>IS_ABNORMAL_ITEM</stp>
        <stp>FQ2 2008</stp>
        <stp>FQ2 2008</stp>
        <stp>[FA1_j2ahgkxc.xlsx]Income - Adjusted!R18C40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2"/>
      </tp>
      <tp>
        <v>458</v>
        <stp/>
        <stp>##V3_BDHV12</stp>
        <stp>AMZN US Equity</stp>
        <stp>GROSS_PROFIT</stp>
        <stp>FQ1 2005</stp>
        <stp>FQ1 2005</stp>
        <stp>[FA1_j2ahgkxc.xlsx]Income - Adjusted!R8C27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762</v>
        <stp/>
        <stp>##V3_BDHV12</stp>
        <stp>AMZN US Equity</stp>
        <stp>GROSS_PROFIT</stp>
        <stp>FQ3 2007</stp>
        <stp>FQ3 2007</stp>
        <stp>[FA1_j2ahgkxc.xlsx]Income - Adjusted!R8C37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8" s="2"/>
      </tp>
      <tp>
        <v>701</v>
        <stp/>
        <stp>##V3_BDHV12</stp>
        <stp>AMZN US Equity</stp>
        <stp>GROSS_PROFIT</stp>
        <stp>FQ2 2007</stp>
        <stp>FQ2 2007</stp>
        <stp>[FA1_j2ahgkxc.xlsx]Income - Adjusted!R8C36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>
        <v>719</v>
        <stp/>
        <stp>##V3_BDHV12</stp>
        <stp>AMZN US Equity</stp>
        <stp>GROSS_PROFIT</stp>
        <stp>FQ1 2007</stp>
        <stp>FQ1 2007</stp>
        <stp>[FA1_j2ahgkxc.xlsx]Income - Adjusted!R8C35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>
        <v>322.33999999999997</v>
        <stp/>
        <stp>##V3_BDHV12</stp>
        <stp>AMZN US Equity</stp>
        <stp>IS_AVG_NUM_SH_FOR_EPS</stp>
        <stp>FQ2 1999</stp>
        <stp>FQ2 1999</stp>
        <stp>[FA1_j2ahgkxc.xlsx]Income - Adjusted!R34C5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4" s="2"/>
      </tp>
      <tp>
        <v>-0.255</v>
        <stp/>
        <stp>##V3_BDHV12</stp>
        <stp>AMZN US Equity</stp>
        <stp>IS_BASIC_EPS_CONT_OPS</stp>
        <stp>FQ2 1999</stp>
        <stp>FQ2 1999</stp>
        <stp>[FA1_j2ahgkxc.xlsx]Income - Adjusted!R37C5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7" s="2"/>
      </tp>
      <tp>
        <v>1073</v>
        <stp/>
        <stp>##V3_BDHV12</stp>
        <stp>AMZN US Equity</stp>
        <stp>BS_CUR_LIAB</stp>
        <stp>FQ1 2005</stp>
        <stp>FQ1 2005</stp>
        <stp>[FA1_j2ahgkxc.xlsx]Bal Sheet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3"/>
      </tp>
      <tp>
        <v>648.24</v>
        <stp/>
        <stp>##V3_BDHV12</stp>
        <stp>AMZN US Equity</stp>
        <stp>BS_CUR_LIAB</stp>
        <stp>FQ2 2001</stp>
        <stp>FQ2 2001</stp>
        <stp>[FA1_j2ahgkxc.xlsx]Bal Sheet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3"/>
      </tp>
      <tp>
        <v>0</v>
        <stp/>
        <stp>##V3_BDHV12</stp>
        <stp>AMZN US Equity</stp>
        <stp>XO_GL_NET_OF_TAX</stp>
        <stp>FQ2 1999</stp>
        <stp>FQ2 1999</stp>
        <stp>[FA1_j2ahgkxc.xlsx]Income - Adjusted!R32C5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2"/>
      </tp>
      <tp>
        <v>0</v>
        <stp/>
        <stp>##V3_BDHV12</stp>
        <stp>AMZN US Equity</stp>
        <stp>XO_GL_NET_OF_TAX</stp>
        <stp>FQ2 1999</stp>
        <stp>FQ2 1999</stp>
        <stp>[FA1_j2ahgkxc.xlsx]Income - Adjusted!R23C5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2"/>
      </tp>
      <tp>
        <v>322.33999999999997</v>
        <stp/>
        <stp>##V3_BDHV12</stp>
        <stp>AMZN US Equity</stp>
        <stp>IS_SH_FOR_DILUTED_EPS</stp>
        <stp>FQ2 1999</stp>
        <stp>FQ2 1999</stp>
        <stp>[FA1_j2ahgkxc.xlsx]Income - Adjusted!R39C5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9" s="2"/>
      </tp>
      <tp>
        <v>660.53200000000004</v>
        <stp/>
        <stp>##V3_BDHV12</stp>
        <stp>AMZN US Equity</stp>
        <stp>BS_CUR_LIAB</stp>
        <stp>FQ2 2002</stp>
        <stp>FQ2 2002</stp>
        <stp>[FA1_j2ahgkxc.xlsx]Bal Sheet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3"/>
      </tp>
      <tp>
        <v>865.91099999999994</v>
        <stp/>
        <stp>##V3_BDHV12</stp>
        <stp>AMZN US Equity</stp>
        <stp>BS_CUR_LIAB</stp>
        <stp>FQ1 2004</stp>
        <stp>FQ1 2004</stp>
        <stp>[FA1_j2ahgkxc.xlsx]Bal Sheet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3"/>
      </tp>
      <tp>
        <v>-201.81899999999999</v>
        <stp/>
        <stp>##V3_BDHV12</stp>
        <stp>AMZN US Equity</stp>
        <stp>CF_CHNG_NON_CASH_WORK_CAP</stp>
        <stp>FQ1 2000</stp>
        <stp>FQ1 2000</stp>
        <stp>[FA1_j2ahgkxc.xlsx]Cash Flow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4"/>
      </tp>
      <tp t="s">
        <v>—</v>
        <stp/>
        <stp>##V3_BDHV12</stp>
        <stp>AMZN US Equity</stp>
        <stp>CASH_CONVERSION_CYCLE</stp>
        <stp>FQ4 1999</stp>
        <stp>FQ4 1999</stp>
        <stp>[FA1_j2ahgkxc.xlsx]Bal Sheet - Standardized!R69C7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69" s="3"/>
      </tp>
      <tp>
        <v>53.34</v>
        <stp/>
        <stp>##V3_BDHV12</stp>
        <stp>AMZN US Equity</stp>
        <stp>CF_CHNG_NON_CASH_WORK_CAP</stp>
        <stp>FQ2 2000</stp>
        <stp>FQ2 2000</stp>
        <stp>[FA1_j2ahgkxc.xlsx]Cash Flow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29.33</v>
        <stp/>
        <stp>##V3_BDHV12</stp>
        <stp>AMZN US Equity</stp>
        <stp>CF_CHNG_NON_CASH_WORK_CAP</stp>
        <stp>FQ3 2000</stp>
        <stp>FQ3 2000</stp>
        <stp>[FA1_j2ahgkxc.xlsx]Cash Flow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4"/>
      </tp>
      <tp>
        <v>15</v>
        <stp/>
        <stp>##V3_BDHV12</stp>
        <stp>AMZN US Equity</stp>
        <stp>IS_INT_INC</stp>
        <stp>FQ1 2006</stp>
        <stp>FQ1 2006</stp>
        <stp>[FA1_j2ahgkxc.xlsx]Income - Adjusted!R15C31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5" s="2"/>
      </tp>
      <tp>
        <v>5.5549999999999997</v>
        <stp/>
        <stp>##V3_BDHV12</stp>
        <stp>AMZN US Equity</stp>
        <stp>IS_INT_INC</stp>
        <stp>FQ1 2004</stp>
        <stp>FQ1 2004</stp>
        <stp>[FA1_j2ahgkxc.xlsx]Income - Adjusted!R15C23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5" s="2"/>
      </tp>
      <tp>
        <v>5.6520000000000001</v>
        <stp/>
        <stp>##V3_BDHV12</stp>
        <stp>AMZN US Equity</stp>
        <stp>IS_INT_INC</stp>
        <stp>FQ1 2002</stp>
        <stp>FQ1 2002</stp>
        <stp>[FA1_j2ahgkxc.xlsx]Income - Adjusted!R15C15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5" s="2"/>
      </tp>
      <tp>
        <v>0</v>
        <stp/>
        <stp>##V3_BDHV12</stp>
        <stp>AMZN US Equity</stp>
        <stp>OTHER_ADJUSTMENTS</stp>
        <stp>FQ2 2004</stp>
        <stp>FQ2 2004</stp>
        <stp>[FA1_j2ahgkxc.xlsx]Income - Adjusted!R28C24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2"/>
      </tp>
      <tp>
        <v>0</v>
        <stp/>
        <stp>##V3_BDHV12</stp>
        <stp>AMZN US Equity</stp>
        <stp>OTHER_ADJUSTMENTS</stp>
        <stp>FQ4 2001</stp>
        <stp>FQ4 2001</stp>
        <stp>[FA1_j2ahgkxc.xlsx]Income - Adjusted!R28C14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2"/>
      </tp>
      <tp>
        <v>0</v>
        <stp/>
        <stp>##V3_BDHV12</stp>
        <stp>AMZN US Equity</stp>
        <stp>OTHER_ADJUSTMENTS</stp>
        <stp>FQ1 2006</stp>
        <stp>FQ1 2006</stp>
        <stp>[FA1_j2ahgkxc.xlsx]Income - Adjusted!R28C31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2"/>
      </tp>
      <tp>
        <v>0</v>
        <stp/>
        <stp>##V3_BDHV12</stp>
        <stp>AMZN US Equity</stp>
        <stp>OTHER_ADJUSTMENTS</stp>
        <stp>FQ3 2005</stp>
        <stp>FQ3 2005</stp>
        <stp>[FA1_j2ahgkxc.xlsx]Income - Adjusted!R28C29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2"/>
      </tp>
      <tp>
        <v>-4.7694000000000001</v>
        <stp/>
        <stp>##V3_BDHV12</stp>
        <stp>AMZN US Equity</stp>
        <stp>CHG_PCT_PERIOD</stp>
        <stp>FQ4 1999</stp>
        <stp>FQ4 1999</stp>
        <stp>[FA1_j2ahgkxc.xlsx]Stock Value!R7C6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6"/>
      </tp>
      <tp>
        <v>2.6701999999999999</v>
        <stp/>
        <stp>##V3_BDHV12</stp>
        <stp>AMZN US Equity</stp>
        <stp>CASH_ST_INVESTMENTS_PER_SH</stp>
        <stp>FQ4 2001</stp>
        <stp>FQ4 2001</stp>
        <stp>[FA1_j2ahgkxc.xlsx]Per Share!R25C14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5" s="5"/>
      </tp>
      <tp>
        <v>4.8076999999999996</v>
        <stp/>
        <stp>##V3_BDHV12</stp>
        <stp>AMZN US Equity</stp>
        <stp>CASH_ST_INVESTMENTS_PER_SH</stp>
        <stp>FQ4 2005</stp>
        <stp>FQ4 2005</stp>
        <stp>[FA1_j2ahgkxc.xlsx]Per Share!R25C30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5" s="5"/>
      </tp>
      <tp>
        <v>2.9659</v>
        <stp/>
        <stp>##V3_BDHV12</stp>
        <stp>AMZN US Equity</stp>
        <stp>CASH_ST_INVESTMENTS_PER_SH</stp>
        <stp>FQ3 2006</stp>
        <stp>FQ3 2006</stp>
        <stp>[FA1_j2ahgkxc.xlsx]Per Share!R25C33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5" s="5"/>
      </tp>
      <tp>
        <v>2.2711999999999999</v>
        <stp/>
        <stp>##V3_BDHV12</stp>
        <stp>AMZN US Equity</stp>
        <stp>CASH_ST_INVESTMENTS_PER_SH</stp>
        <stp>FQ3 2002</stp>
        <stp>FQ3 2002</stp>
        <stp>[FA1_j2ahgkxc.xlsx]Per Share!R25C17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5" s="5"/>
      </tp>
      <tp t="s">
        <v>—</v>
        <stp/>
        <stp>##V3_BDHV12</stp>
        <stp>AMZN US Equity</stp>
        <stp>BS_ACCUM_DEPR</stp>
        <stp>FQ3 2005</stp>
        <stp>FQ3 2005</stp>
        <stp>[FA1_j2ahgkxc.xlsx]Bal Sheet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3"/>
      </tp>
      <tp>
        <v>337.17500000000001</v>
        <stp/>
        <stp>##V3_BDHV12</stp>
        <stp>AMZN US Equity</stp>
        <stp>OTHER_CURRENT_LIABS_DETAILED</stp>
        <stp>FQ3 2000</stp>
        <stp>FQ3 2000</stp>
        <stp>[FA1_j2ahgkxc.xlsx]Bal Sheet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3"/>
      </tp>
      <tp t="s">
        <v>—</v>
        <stp/>
        <stp>##V3_BDHV12</stp>
        <stp>AMZN US Equity</stp>
        <stp>BS_ACCUM_DEPR</stp>
        <stp>FQ3 2003</stp>
        <stp>FQ3 2003</stp>
        <stp>[FA1_j2ahgkxc.xlsx]Bal Sheet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3"/>
      </tp>
      <tp>
        <v>295.38499999999999</v>
        <stp/>
        <stp>##V3_BDHV12</stp>
        <stp>AMZN US Equity</stp>
        <stp>OTHER_CURRENT_LIABS_DETAILED</stp>
        <stp>FQ1 2000</stp>
        <stp>FQ1 2000</stp>
        <stp>[FA1_j2ahgkxc.xlsx]Bal Sheet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3"/>
      </tp>
      <tp t="s">
        <v>—</v>
        <stp/>
        <stp>##V3_BDHV12</stp>
        <stp>AMZN US Equity</stp>
        <stp>BS_ACCUM_DEPR</stp>
        <stp>FQ3 2004</stp>
        <stp>FQ3 2004</stp>
        <stp>[FA1_j2ahgkxc.xlsx]Bal Sheet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3"/>
      </tp>
      <tp>
        <v>281.55</v>
        <stp/>
        <stp>##V3_BDHV12</stp>
        <stp>AMZN US Equity</stp>
        <stp>INVTRY_FINISHED_GOODS</stp>
        <stp>FQ1 2004</stp>
        <stp>FQ1 2004</stp>
        <stp>[FA1_j2ahgkxc.xlsx]Bal Sheet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3"/>
      </tp>
      <tp>
        <v>126.794</v>
        <stp/>
        <stp>##V3_BDHV12</stp>
        <stp>AMZN US Equity</stp>
        <stp>INVTRY_FINISHED_GOODS</stp>
        <stp>FQ2 2002</stp>
        <stp>FQ2 2002</stp>
        <stp>[FA1_j2ahgkxc.xlsx]Bal Sheet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3"/>
      </tp>
      <tp t="s">
        <v>—</v>
        <stp/>
        <stp>##V3_BDHV12</stp>
        <stp>AMZN US Equity</stp>
        <stp>BS_ACCUM_DEPR</stp>
        <stp>FQ2 2007</stp>
        <stp>FQ2 2007</stp>
        <stp>[FA1_j2ahgkxc.xlsx]Bal Sheet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3"/>
      </tp>
      <tp>
        <v>129.035</v>
        <stp/>
        <stp>##V3_BDHV12</stp>
        <stp>AMZN US Equity</stp>
        <stp>INVTRY_FINISHED_GOODS</stp>
        <stp>FQ2 2001</stp>
        <stp>FQ2 2001</stp>
        <stp>[FA1_j2ahgkxc.xlsx]Bal Sheet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3"/>
      </tp>
      <tp t="s">
        <v>—</v>
        <stp/>
        <stp>##V3_BDHV12</stp>
        <stp>AMZN US Equity</stp>
        <stp>BS_ACCUM_DEPR</stp>
        <stp>FQ2 2006</stp>
        <stp>FQ2 2006</stp>
        <stp>[FA1_j2ahgkxc.xlsx]Bal Sheet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3"/>
      </tp>
      <tp>
        <v>403</v>
        <stp/>
        <stp>##V3_BDHV12</stp>
        <stp>AMZN US Equity</stp>
        <stp>INVTRY_FINISHED_GOODS</stp>
        <stp>FQ1 2005</stp>
        <stp>FQ1 2005</stp>
        <stp>[FA1_j2ahgkxc.xlsx]Bal Sheet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3"/>
      </tp>
      <tp>
        <v>0</v>
        <stp/>
        <stp>##V3_BDHV12</stp>
        <stp>AMZN US Equity</stp>
        <stp>IS_ABNORMAL_ITEM</stp>
        <stp>FQ3 2008</stp>
        <stp>FQ3 2008</stp>
        <stp>[FA1_j2ahgkxc.xlsx]Income - Adjusted!R18C41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2"/>
      </tp>
      <tp>
        <v>0</v>
        <stp/>
        <stp>##V3_BDHV12</stp>
        <stp>AMZN US Equity</stp>
        <stp>IS_INC_TAX_EXP</stp>
        <stp>FQ1 1999</stp>
        <stp>FQ1 1999</stp>
        <stp>[FA1_j2ahgkxc.xlsx]Income - Adjusted!R21C4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1" s="2"/>
      </tp>
      <tp>
        <v>0</v>
        <stp/>
        <stp>##V3_BDHV12</stp>
        <stp>AMZN US Equity</stp>
        <stp>IS_INC_TAX_EXP</stp>
        <stp>FQ3 1999</stp>
        <stp>FQ3 1999</stp>
        <stp>[FA1_j2ahgkxc.xlsx]Income - Adjusted!R21C6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1" s="2"/>
      </tp>
      <tp t="s">
        <v>—</v>
        <stp/>
        <stp>##V3_BDHV12</stp>
        <stp>AMZN US Equity</stp>
        <stp>IS_IMPAIRMENT_GOODWILL_INTANGIBL</stp>
        <stp>FQ4 2008</stp>
        <stp>FQ4 2008</stp>
        <stp>[FA1_j2ahgkxc.xlsx]Income - Adjusted!R19C42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9" s="2"/>
      </tp>
      <tp>
        <v>341.04590000000002</v>
        <stp/>
        <stp>##V3_BDHV12</stp>
        <stp>AMZN US Equity</stp>
        <stp>GROSS_PROFIT</stp>
        <stp>FQ2 2004</stp>
        <stp>FQ2 2004</stp>
        <stp>[FA1_j2ahgkxc.xlsx]Income - Adjusted!R8C24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355.65100000000001</v>
        <stp/>
        <stp>##V3_BDHV12</stp>
        <stp>AMZN US Equity</stp>
        <stp>GROSS_PROFIT</stp>
        <stp>FQ3 2004</stp>
        <stp>FQ3 2004</stp>
        <stp>[FA1_j2ahgkxc.xlsx]Income - Adjusted!R8C25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308.77800000000002</v>
        <stp/>
        <stp>##V3_BDHV12</stp>
        <stp>AMZN US Equity</stp>
        <stp>IS_AVG_NUM_SH_FOR_EPS</stp>
        <stp>FQ4 1998</stp>
        <stp>FQ4 1998</stp>
        <stp>[FA1_j2ahgkxc.xlsx]Income - Adjusted!R34C3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4" s="2"/>
      </tp>
      <tp t="s">
        <v>—</v>
        <stp/>
        <stp>##V3_BDHV12</stp>
        <stp>AMZN US Equity</stp>
        <stp>BS_OPTIONS_GRANTED</stp>
        <stp>FQ4 1999</stp>
        <stp>FQ4 1999</stp>
        <stp>[FA1_j2ahgkxc.xlsx]Bal Sheet - Standardized!R63C7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3" s="3"/>
      </tp>
      <tp>
        <v>-7.0000000000000007E-2</v>
        <stp/>
        <stp>##V3_BDHV12</stp>
        <stp>AMZN US Equity</stp>
        <stp>IS_BASIC_EPS_CONT_OPS</stp>
        <stp>FQ4 1998</stp>
        <stp>FQ4 1998</stp>
        <stp>[FA1_j2ahgkxc.xlsx]Income - Adjusted!R37C3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7" s="2"/>
      </tp>
      <tp>
        <v>0</v>
        <stp/>
        <stp>##V3_BDHV12</stp>
        <stp>AMZN US Equity</stp>
        <stp>XO_GL_NET_OF_TAX</stp>
        <stp>FQ3 2000</stp>
        <stp>FQ3 2000</stp>
        <stp>[FA1_j2ahgkxc.xlsx]Income - Adjusted!R32C9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2"/>
      </tp>
      <tp>
        <v>0</v>
        <stp/>
        <stp>##V3_BDHV12</stp>
        <stp>AMZN US Equity</stp>
        <stp>XO_GL_NET_OF_TAX</stp>
        <stp>FQ3 2000</stp>
        <stp>FQ3 2000</stp>
        <stp>[FA1_j2ahgkxc.xlsx]Income - Adjusted!R23C9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2"/>
      </tp>
      <tp>
        <v>1847</v>
        <stp/>
        <stp>##V3_BDHV12</stp>
        <stp>AMZN US Equity</stp>
        <stp>BS_CUR_LIAB</stp>
        <stp>FQ1 2007</stp>
        <stp>FQ1 2007</stp>
        <stp>[FA1_j2ahgkxc.xlsx]Bal Sheet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3"/>
      </tp>
      <tp>
        <v>0</v>
        <stp/>
        <stp>##V3_BDHV12</stp>
        <stp>AMZN US Equity</stp>
        <stp>XO_GL_NET_OF_TAX</stp>
        <stp>FQ3 1999</stp>
        <stp>FQ3 1999</stp>
        <stp>[FA1_j2ahgkxc.xlsx]Income - Adjusted!R32C6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2"/>
      </tp>
      <tp>
        <v>0</v>
        <stp/>
        <stp>##V3_BDHV12</stp>
        <stp>AMZN US Equity</stp>
        <stp>XO_GL_NET_OF_TAX</stp>
        <stp>FQ3 1999</stp>
        <stp>FQ3 1999</stp>
        <stp>[FA1_j2ahgkxc.xlsx]Income - Adjusted!R23C6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2"/>
      </tp>
      <tp>
        <v>628.19799999999998</v>
        <stp/>
        <stp>##V3_BDHV12</stp>
        <stp>AMZN US Equity</stp>
        <stp>BS_CUR_LIAB</stp>
        <stp>FQ3 2001</stp>
        <stp>FQ3 2001</stp>
        <stp>[FA1_j2ahgkxc.xlsx]Bal Sheet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3"/>
      </tp>
      <tp>
        <v>3551</v>
        <stp/>
        <stp>##V3_BDHV12</stp>
        <stp>AMZN US Equity</stp>
        <stp>BS_CUR_LIAB</stp>
        <stp>FQ1 2008</stp>
        <stp>FQ1 2008</stp>
        <stp>[FA1_j2ahgkxc.xlsx]Bal Sheet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3"/>
      </tp>
      <tp>
        <v>308.77800000000002</v>
        <stp/>
        <stp>##V3_BDHV12</stp>
        <stp>AMZN US Equity</stp>
        <stp>IS_SH_FOR_DILUTED_EPS</stp>
        <stp>FQ4 1998</stp>
        <stp>FQ4 1998</stp>
        <stp>[FA1_j2ahgkxc.xlsx]Income - Adjusted!R39C3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9" s="2"/>
      </tp>
      <tp>
        <v>710.99800000000005</v>
        <stp/>
        <stp>##V3_BDHV12</stp>
        <stp>AMZN US Equity</stp>
        <stp>BS_CUR_LIAB</stp>
        <stp>FQ3 2002</stp>
        <stp>FQ3 2002</stp>
        <stp>[FA1_j2ahgkxc.xlsx]Bal Sheet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3"/>
      </tp>
      <tp>
        <v>1407</v>
        <stp/>
        <stp>##V3_BDHV12</stp>
        <stp>AMZN US Equity</stp>
        <stp>BS_CUR_LIAB</stp>
        <stp>FQ1 2006</stp>
        <stp>FQ1 2006</stp>
        <stp>[FA1_j2ahgkxc.xlsx]Bal Sheet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3"/>
      </tp>
      <tp>
        <v>589.20000000000005</v>
        <stp/>
        <stp>##V3_BDHV12</stp>
        <stp>AMZN US Equity</stp>
        <stp>BS_FUTURE_MIN_OPER_LEASE_OBLIG</stp>
        <stp>FQ3 2005</stp>
        <stp>FQ3 2005</stp>
        <stp>[FA1_j2ahgkxc.xlsx]Bal Sheet - Standardized!R61C29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1" s="3"/>
      </tp>
      <tp>
        <v>84.087000000000003</v>
        <stp/>
        <stp>##V3_BDHV12</stp>
        <stp>AMZN US Equity</stp>
        <stp>BS_CASH_NEAR_CASH_ITEM</stp>
        <stp>FQ1 2000</stp>
        <stp>FQ1 2000</stp>
        <stp>[FA1_j2ahgkxc.xlsx]Bal Sheet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3"/>
      </tp>
      <tp>
        <v>638</v>
        <stp/>
        <stp>##V3_BDHV12</stp>
        <stp>AMZN US Equity</stp>
        <stp>BS_FUTURE_MIN_OPER_LEASE_OBLIG</stp>
        <stp>FQ2 2006</stp>
        <stp>FQ2 2006</stp>
        <stp>[FA1_j2ahgkxc.xlsx]Bal Sheet - Standardized!R61C32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1" s="3"/>
      </tp>
      <tp>
        <v>647.048</v>
        <stp/>
        <stp>##V3_BDHV12</stp>
        <stp>AMZN US Equity</stp>
        <stp>BS_CASH_NEAR_CASH_ITEM</stp>
        <stp>FQ3 2000</stp>
        <stp>FQ3 2000</stp>
        <stp>[FA1_j2ahgkxc.xlsx]Bal Sheet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3"/>
      </tp>
      <tp t="s">
        <v>—</v>
        <stp/>
        <stp>##V3_BDHV12</stp>
        <stp>AMZN US Equity</stp>
        <stp>BS_FUTURE_MIN_OPER_LEASE_OBLIG</stp>
        <stp>FQ3 2003</stp>
        <stp>FQ3 2003</stp>
        <stp>[FA1_j2ahgkxc.xlsx]Bal Sheet - Standardized!R61C21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1" s="3"/>
      </tp>
      <tp t="s">
        <v>—</v>
        <stp/>
        <stp>##V3_BDHV12</stp>
        <stp>AMZN US Equity</stp>
        <stp>BS_FUTURE_MIN_OPER_LEASE_OBLIG</stp>
        <stp>FQ3 2004</stp>
        <stp>FQ3 2004</stp>
        <stp>[FA1_j2ahgkxc.xlsx]Bal Sheet - Standardized!R61C25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1" s="3"/>
      </tp>
      <tp>
        <v>20</v>
        <stp/>
        <stp>##V3_BDHV12</stp>
        <stp>AMZN US Equity</stp>
        <stp>IS_INT_INC</stp>
        <stp>FQ2 2008</stp>
        <stp>FQ2 2008</stp>
        <stp>[FA1_j2ahgkxc.xlsx]Income - Adjusted!R15C40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5" s="2"/>
      </tp>
      <tp>
        <v>679</v>
        <stp/>
        <stp>##V3_BDHV12</stp>
        <stp>AMZN US Equity</stp>
        <stp>BS_FUTURE_MIN_OPER_LEASE_OBLIG</stp>
        <stp>FQ2 2007</stp>
        <stp>FQ2 2007</stp>
        <stp>[FA1_j2ahgkxc.xlsx]Bal Sheet - Standardized!R61C36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1" s="3"/>
      </tp>
      <tp>
        <v>115.511</v>
        <stp/>
        <stp>##V3_BDHV12</stp>
        <stp>AMZN US Equity</stp>
        <stp>BS_OTHER_ASSETS_DEF_CHRG_OTHER</stp>
        <stp>FQ1 2004</stp>
        <stp>FQ1 2004</stp>
        <stp>[FA1_j2ahgkxc.xlsx]Bal Sheet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3"/>
      </tp>
      <tp>
        <v>126.73</v>
        <stp/>
        <stp>##V3_BDHV12</stp>
        <stp>AMZN US Equity</stp>
        <stp>BS_OTHER_ASSETS_DEF_CHRG_OTHER</stp>
        <stp>FQ2 2002</stp>
        <stp>FQ2 2002</stp>
        <stp>[FA1_j2ahgkxc.xlsx]Bal Sheet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3"/>
      </tp>
      <tp>
        <v>218.52799999999999</v>
        <stp/>
        <stp>##V3_BDHV12</stp>
        <stp>AMZN US Equity</stp>
        <stp>BS_OTHER_ASSETS_DEF_CHRG_OTHER</stp>
        <stp>FQ2 2001</stp>
        <stp>FQ2 2001</stp>
        <stp>[FA1_j2ahgkxc.xlsx]Bal Sheet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434</v>
        <stp/>
        <stp>##V3_BDHV12</stp>
        <stp>AMZN US Equity</stp>
        <stp>BS_OTHER_ASSETS_DEF_CHRG_OTHER</stp>
        <stp>FQ1 2005</stp>
        <stp>FQ1 2005</stp>
        <stp>[FA1_j2ahgkxc.xlsx]Bal Sheet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3"/>
      </tp>
      <tp>
        <v>27786.0694</v>
        <stp/>
        <stp>##V3_BDHV12</stp>
        <stp>AMZN US Equity</stp>
        <stp>HISTORICAL_MARKET_CAP</stp>
        <stp>FQ1 1999</stp>
        <stp>FQ1 1999</stp>
        <stp>[FA1_j2ahgkxc.xlsx]Stock Value!R12C3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27241.659800000001</v>
        <stp/>
        <stp>##V3_BDHV12</stp>
        <stp>AMZN US Equity</stp>
        <stp>HISTORICAL_MARKET_CAP</stp>
        <stp>FQ3 1999</stp>
        <stp>FQ3 1999</stp>
        <stp>[FA1_j2ahgkxc.xlsx]Stock Value!R12C5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21040.144100000001</v>
        <stp/>
        <stp>##V3_BDHV12</stp>
        <stp>AMZN US Equity</stp>
        <stp>HISTORICAL_MARKET_CAP</stp>
        <stp>FQ2 1999</stp>
        <stp>FQ2 1999</stp>
        <stp>[FA1_j2ahgkxc.xlsx]Stock Value!R12C4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26274.924299999999</v>
        <stp/>
        <stp>##V3_BDHV12</stp>
        <stp>AMZN US Equity</stp>
        <stp>HISTORICAL_MARKET_CAP</stp>
        <stp>FQ4 1999</stp>
        <stp>FQ4 1999</stp>
        <stp>[FA1_j2ahgkxc.xlsx]Stock Value!R12C6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3.3538000000000001</v>
        <stp/>
        <stp>##V3_BDHV12</stp>
        <stp>AMZN US Equity</stp>
        <stp>CASH_ST_INVESTMENTS_PER_SH</stp>
        <stp>FQ4 2002</stp>
        <stp>FQ4 2002</stp>
        <stp>[FA1_j2ahgkxc.xlsx]Per Share!R25C18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5" s="5"/>
      </tp>
      <tp>
        <v>8.7079000000000004</v>
        <stp/>
        <stp>##V3_BDHV12</stp>
        <stp>AMZN US Equity</stp>
        <stp>CASH_ST_INVESTMENTS_PER_SH</stp>
        <stp>FQ4 2008</stp>
        <stp>FQ4 2008</stp>
        <stp>[FA1_j2ahgkxc.xlsx]Per Share!R25C42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5" s="5"/>
      </tp>
      <tp>
        <v>2.7644000000000002</v>
        <stp/>
        <stp>##V3_BDHV12</stp>
        <stp>AMZN US Equity</stp>
        <stp>CASH_ST_INVESTMENTS_PER_SH</stp>
        <stp>FQ1 2003</stp>
        <stp>FQ1 2003</stp>
        <stp>[FA1_j2ahgkxc.xlsx]Per Share!R25C19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5" s="5"/>
      </tp>
      <tp>
        <v>-18.366700000000002</v>
        <stp/>
        <stp>##V3_BDHV12</stp>
        <stp>AMZN US Equity</stp>
        <stp>PROF_MARGIN</stp>
        <stp>FQ4 1998</stp>
        <stp>FQ4 1998</stp>
        <stp>[FA1_j2ahgkxc.xlsx]Income - Adjusted!R52C3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2" s="2"/>
      </tp>
      <tp>
        <v>255.797</v>
        <stp/>
        <stp>##V3_BDHV12</stp>
        <stp>AMZN US Equity</stp>
        <stp>BS_ACCT_PAYABLE</stp>
        <stp>FQ1 2000</stp>
        <stp>FQ1 2000</stp>
        <stp>[FA1_j2ahgkxc.xlsx]Bal Sheet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304.709</v>
        <stp/>
        <stp>##V3_BDHV12</stp>
        <stp>AMZN US Equity</stp>
        <stp>BS_ACCT_PAYABLE</stp>
        <stp>FQ3 2000</stp>
        <stp>FQ3 2000</stp>
        <stp>[FA1_j2ahgkxc.xlsx]Bal Sheet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3"/>
      </tp>
      <tp>
        <v>1459.373</v>
        <stp/>
        <stp>##V3_BDHV12</stp>
        <stp>AMZN US Equity</stp>
        <stp>BS_TOT_NON_CUR_ASSET</stp>
        <stp>FQ4 1999</stp>
        <stp>FQ4 1999</stp>
        <stp>[FA1_j2ahgkxc.xlsx]Bal Sheet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3"/>
      </tp>
      <tp>
        <v>144.73500000000001</v>
        <stp/>
        <stp>##V3_BDHV12</stp>
        <stp>AMZN US Equity</stp>
        <stp>BS_LT_INVEST</stp>
        <stp>FQ4 1999</stp>
        <stp>FQ4 1999</stp>
        <stp>[FA1_j2ahgkxc.xlsx]Bal Sheet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196.31700000000001</v>
        <stp/>
        <stp>##V3_BDHV12</stp>
        <stp>AMZN US Equity</stp>
        <stp>BS_LT_INVEST</stp>
        <stp>FQ3 1999</stp>
        <stp>FQ3 1999</stp>
        <stp>[FA1_j2ahgkxc.xlsx]Bal Sheet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224.20599999999999</v>
        <stp/>
        <stp>##V3_BDHV12</stp>
        <stp>AMZN US Equity</stp>
        <stp>BS_TOT_NON_CUR_ASSET</stp>
        <stp>FQ4 1998</stp>
        <stp>FQ4 1998</stp>
        <stp>[FA1_j2ahgkxc.xlsx]Bal Sheet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3"/>
      </tp>
      <tp>
        <v>0</v>
        <stp/>
        <stp>##V3_BDHV12</stp>
        <stp>AMZN US Equity</stp>
        <stp>BS_LT_INVEST</stp>
        <stp>FQ1 1999</stp>
        <stp>FQ1 1999</stp>
        <stp>[FA1_j2ahgkxc.xlsx]Bal Sheet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1041.2560000000001</v>
        <stp/>
        <stp>##V3_BDHV12</stp>
        <stp>AMZN US Equity</stp>
        <stp>BS_TOT_NON_CUR_ASSET</stp>
        <stp>FQ2 1999</stp>
        <stp>FQ2 1999</stp>
        <stp>[FA1_j2ahgkxc.xlsx]Bal Sheet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3"/>
      </tp>
      <tp>
        <v>0</v>
        <stp/>
        <stp>##V3_BDHV12</stp>
        <stp>AMZN US Equity</stp>
        <stp>BS_LT_INVEST</stp>
        <stp>FQ2 1999</stp>
        <stp>FQ2 1999</stp>
        <stp>[FA1_j2ahgkxc.xlsx]Bal Sheet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1159.731</v>
        <stp/>
        <stp>##V3_BDHV12</stp>
        <stp>AMZN US Equity</stp>
        <stp>BS_TOT_NON_CUR_ASSET</stp>
        <stp>FQ3 1999</stp>
        <stp>FQ3 1999</stp>
        <stp>[FA1_j2ahgkxc.xlsx]Bal Sheet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3"/>
      </tp>
      <tp>
        <v>287.70600000000002</v>
        <stp/>
        <stp>##V3_BDHV12</stp>
        <stp>AMZN US Equity</stp>
        <stp>BS_TOT_NON_CUR_ASSET</stp>
        <stp>FQ1 1999</stp>
        <stp>FQ1 1999</stp>
        <stp>[FA1_j2ahgkxc.xlsx]Bal Sheet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3"/>
      </tp>
      <tp>
        <v>7.74</v>
        <stp/>
        <stp>##V3_BDHV12</stp>
        <stp>AMZN US Equity</stp>
        <stp>BS_LT_INVEST</stp>
        <stp>FQ4 1998</stp>
        <stp>FQ4 1998</stp>
        <stp>[FA1_j2ahgkxc.xlsx]Bal Sheet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571.04600000000005</v>
        <stp/>
        <stp>##V3_BDHV12</stp>
        <stp>AMZN US Equity</stp>
        <stp>TOTAL_EQUITY</stp>
        <stp>FQ2 1999</stp>
        <stp>FQ2 1999</stp>
        <stp>[FA1_j2ahgkxc.xlsx]Bal Sheet - Standardized!R54C5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4" s="3"/>
      </tp>
      <tp>
        <v>138.745</v>
        <stp/>
        <stp>##V3_BDHV12</stp>
        <stp>AMZN US Equity</stp>
        <stp>TOTAL_EQUITY</stp>
        <stp>FQ4 1998</stp>
        <stp>FQ4 1998</stp>
        <stp>[FA1_j2ahgkxc.xlsx]Bal Sheet - Standardized!R54C3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4" s="3"/>
      </tp>
      <tp t="s">
        <v>—</v>
        <stp/>
        <stp>##V3_BDHV12</stp>
        <stp>AMZN US Equity</stp>
        <stp>IS_IMPAIRMENT_GOODWILL_INTANGIBL</stp>
        <stp>FQ3 2007</stp>
        <stp>FQ3 2007</stp>
        <stp>[FA1_j2ahgkxc.xlsx]Income - Adjusted!R19C37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9" s="2"/>
      </tp>
      <tp>
        <v>77.537000000000006</v>
        <stp/>
        <stp>##V3_BDHV12</stp>
        <stp>AMZN US Equity</stp>
        <stp>TOTAL_EQUITY</stp>
        <stp>FQ1 1999</stp>
        <stp>FQ1 1999</stp>
        <stp>[FA1_j2ahgkxc.xlsx]Bal Sheet - Standardized!R54C4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4" s="3"/>
      </tp>
      <tp>
        <v>419.92500000000001</v>
        <stp/>
        <stp>##V3_BDHV12</stp>
        <stp>AMZN US Equity</stp>
        <stp>TOTAL_EQUITY</stp>
        <stp>FQ3 1999</stp>
        <stp>FQ3 1999</stp>
        <stp>[FA1_j2ahgkxc.xlsx]Bal Sheet - Standardized!R54C6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4" s="3"/>
      </tp>
      <tp t="s">
        <v>—</v>
        <stp/>
        <stp>##V3_BDHV12</stp>
        <stp>AMZN US Equity</stp>
        <stp>IS_ABNORMAL_ITEM</stp>
        <stp>FQ4 2007</stp>
        <stp>FQ4 2007</stp>
        <stp>[FA1_j2ahgkxc.xlsx]Income - Adjusted!R18C38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2"/>
      </tp>
      <tp>
        <v>266.27800000000002</v>
        <stp/>
        <stp>##V3_BDHV12</stp>
        <stp>AMZN US Equity</stp>
        <stp>TOTAL_EQUITY</stp>
        <stp>FQ4 1999</stp>
        <stp>FQ4 1999</stp>
        <stp>[FA1_j2ahgkxc.xlsx]Bal Sheet - Standardized!R54C7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4" s="3"/>
      </tp>
      <tp>
        <v>0</v>
        <stp/>
        <stp>##V3_BDHV12</stp>
        <stp>AMZN US Equity</stp>
        <stp>IS_IMPAIRMENT_GOODWILL_INTANGIBL</stp>
        <stp>FQ2 2006</stp>
        <stp>FQ2 2006</stp>
        <stp>[FA1_j2ahgkxc.xlsx]Income - Adjusted!R19C32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2"/>
      </tp>
      <tp t="s">
        <v>—</v>
        <stp/>
        <stp>##V3_BDHV12</stp>
        <stp>AMZN US Equity</stp>
        <stp>IS_IMPAIRMENT_GOODWILL_INTANGIBL</stp>
        <stp>FQ1 2004</stp>
        <stp>FQ1 2004</stp>
        <stp>[FA1_j2ahgkxc.xlsx]Income - Adjusted!R19C23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2"/>
      </tp>
      <tp>
        <v>648.46</v>
        <stp/>
        <stp>##V3_BDHV12</stp>
        <stp>AMZN US Equity</stp>
        <stp>BS_TOT_ASSET</stp>
        <stp>FQ4 1998</stp>
        <stp>FQ4 1998</stp>
        <stp>[FA1_j2ahgkxc.xlsx]Bal Sheet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2298.2141000000001</v>
        <stp/>
        <stp>##V3_BDHV12</stp>
        <stp>AMZN US Equity</stp>
        <stp>BS_TOT_ASSET</stp>
        <stp>FQ2 1999</stp>
        <stp>FQ2 1999</stp>
        <stp>[FA1_j2ahgkxc.xlsx]Bal Sheet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3"/>
      </tp>
      <tp>
        <v>35.433</v>
        <stp/>
        <stp>##V3_BDHV12</stp>
        <stp>AMZN US Equity</stp>
        <stp>IS_ABNORMAL_ITEM</stp>
        <stp>FQ3 2002</stp>
        <stp>FQ3 2002</stp>
        <stp>[FA1_j2ahgkxc.xlsx]Income - Adjusted!R18C17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2"/>
      </tp>
      <tp>
        <v>1812.9839999999999</v>
        <stp/>
        <stp>##V3_BDHV12</stp>
        <stp>AMZN US Equity</stp>
        <stp>BS_TOT_ASSET</stp>
        <stp>FQ1 1999</stp>
        <stp>FQ1 1999</stp>
        <stp>[FA1_j2ahgkxc.xlsx]Bal Sheet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3"/>
      </tp>
      <tp>
        <v>2239.7991000000002</v>
        <stp/>
        <stp>##V3_BDHV12</stp>
        <stp>AMZN US Equity</stp>
        <stp>BS_TOT_ASSET</stp>
        <stp>FQ3 1999</stp>
        <stp>FQ3 1999</stp>
        <stp>[FA1_j2ahgkxc.xlsx]Bal Sheet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3"/>
      </tp>
      <tp t="s">
        <v>—</v>
        <stp/>
        <stp>##V3_BDHV12</stp>
        <stp>AMZN US Equity</stp>
        <stp>IS_IMPAIRMENT_GOODWILL_INTANGIBL</stp>
        <stp>FQ4 2002</stp>
        <stp>FQ4 2002</stp>
        <stp>[FA1_j2ahgkxc.xlsx]Income - Adjusted!R19C18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2"/>
      </tp>
      <tp>
        <v>2471.5509999999999</v>
        <stp/>
        <stp>##V3_BDHV12</stp>
        <stp>AMZN US Equity</stp>
        <stp>BS_TOT_ASSET</stp>
        <stp>FQ4 1999</stp>
        <stp>FQ4 1999</stp>
        <stp>[FA1_j2ahgkxc.xlsx]Bal Sheet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3"/>
      </tp>
      <tp>
        <v>0</v>
        <stp/>
        <stp>##V3_BDHV12</stp>
        <stp>AMZN US Equity</stp>
        <stp>IS_INC_TAX_EXP</stp>
        <stp>FQ3 2000</stp>
        <stp>FQ3 2000</stp>
        <stp>[FA1_j2ahgkxc.xlsx]Income - Adjusted!R21C9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1" s="2"/>
      </tp>
      <tp>
        <v>343.88400000000001</v>
        <stp/>
        <stp>##V3_BDHV12</stp>
        <stp>AMZN US Equity</stp>
        <stp>IS_AVG_NUM_SH_FOR_EPS</stp>
        <stp>FQ1 2000</stp>
        <stp>FQ1 2000</stp>
        <stp>[FA1_j2ahgkxc.xlsx]Income - Adjusted!R34C8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4" s="2"/>
      </tp>
      <tp>
        <v>0</v>
        <stp/>
        <stp>##V3_BDHV12</stp>
        <stp>AMZN US Equity</stp>
        <stp>BS_AMT_OF_TSY_STOCK</stp>
        <stp>FQ1 2005</stp>
        <stp>FQ1 2005</stp>
        <stp>[FA1_j2ahgkxc.xlsx]Bal Sheet - Standardized!R49C27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9" s="3"/>
      </tp>
      <tp>
        <v>399</v>
        <stp/>
        <stp>##V3_BDHV12</stp>
        <stp>AMZN US Equity</stp>
        <stp>BS_ACCTS_REC_EXCL_NOTES_REC</stp>
        <stp>FQ4 2006</stp>
        <stp>FQ4 2006</stp>
        <stp>[FA1_j2ahgkxc.xlsx]Bal Sheet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3"/>
      </tp>
      <tp>
        <v>0</v>
        <stp/>
        <stp>##V3_BDHV12</stp>
        <stp>AMZN US Equity</stp>
        <stp>BS_AMT_OF_TSY_STOCK</stp>
        <stp>FQ2 2001</stp>
        <stp>FQ2 2001</stp>
        <stp>[FA1_j2ahgkxc.xlsx]Bal Sheet - Standardized!R49C12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9" s="3"/>
      </tp>
      <tp>
        <v>0</v>
        <stp/>
        <stp>##V3_BDHV12</stp>
        <stp>AMZN US Equity</stp>
        <stp>BS_AMT_OF_TSY_STOCK</stp>
        <stp>FQ2 2002</stp>
        <stp>FQ2 2002</stp>
        <stp>[FA1_j2ahgkxc.xlsx]Bal Sheet - Standardized!R49C16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9" s="3"/>
      </tp>
      <tp>
        <v>0</v>
        <stp/>
        <stp>##V3_BDHV12</stp>
        <stp>AMZN US Equity</stp>
        <stp>BS_AMT_OF_TSY_STOCK</stp>
        <stp>FQ1 2004</stp>
        <stp>FQ1 2004</stp>
        <stp>[FA1_j2ahgkxc.xlsx]Bal Sheet - Standardized!R49C23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9" s="3"/>
      </tp>
      <tp>
        <v>274</v>
        <stp/>
        <stp>##V3_BDHV12</stp>
        <stp>AMZN US Equity</stp>
        <stp>BS_ACCTS_REC_EXCL_NOTES_REC</stp>
        <stp>FQ4 2005</stp>
        <stp>FQ4 2005</stp>
        <stp>[FA1_j2ahgkxc.xlsx]Bal Sheet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3"/>
      </tp>
      <tp>
        <v>0</v>
        <stp/>
        <stp>##V3_BDHV12</stp>
        <stp>AMZN US Equity</stp>
        <stp>IS_FOREIGN_EXCH_LOSS</stp>
        <stp>FQ4 1999</stp>
        <stp>FQ4 1999</stp>
        <stp>[FA1_j2ahgkxc.xlsx]Income - Adjusted!R16C7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2"/>
      </tp>
      <tp>
        <v>597</v>
        <stp/>
        <stp>##V3_BDHV12</stp>
        <stp>AMZN US Equity</stp>
        <stp>BS_ACCTS_REC_EXCL_NOTES_REC</stp>
        <stp>FQ3 2008</stp>
        <stp>FQ3 2008</stp>
        <stp>[FA1_j2ahgkxc.xlsx]Bal Sheet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3"/>
      </tp>
      <tp>
        <v>705</v>
        <stp/>
        <stp>##V3_BDHV12</stp>
        <stp>AMZN US Equity</stp>
        <stp>BS_ACCTS_REC_EXCL_NOTES_REC</stp>
        <stp>FQ4 2007</stp>
        <stp>FQ4 2007</stp>
        <stp>[FA1_j2ahgkxc.xlsx]Bal Sheet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3"/>
      </tp>
      <tp>
        <v>343.88400000000001</v>
        <stp/>
        <stp>##V3_BDHV12</stp>
        <stp>AMZN US Equity</stp>
        <stp>IS_SH_FOR_DILUTED_EPS</stp>
        <stp>FQ1 2000</stp>
        <stp>FQ1 2000</stp>
        <stp>[FA1_j2ahgkxc.xlsx]Income - Adjusted!R39C8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9" s="2"/>
      </tp>
      <tp>
        <v>-0.35</v>
        <stp/>
        <stp>##V3_BDHV12</stp>
        <stp>AMZN US Equity</stp>
        <stp>IS_BASIC_EPS_CONT_OPS</stp>
        <stp>FQ1 2000</stp>
        <stp>FQ1 2000</stp>
        <stp>[FA1_j2ahgkxc.xlsx]Income - Adjusted!R37C8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7" s="2"/>
      </tp>
      <tp>
        <v>174.56299999999999</v>
        <stp/>
        <stp>##V3_BDHV12</stp>
        <stp>AMZN US Equity</stp>
        <stp>BS_INVENTORIES</stp>
        <stp>FQ4 2000</stp>
        <stp>FQ4 2000</stp>
        <stp>[FA1_j2ahgkxc.xlsx]Bal Sheet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3"/>
      </tp>
      <tp>
        <v>816</v>
        <stp/>
        <stp>##V3_BDHV12</stp>
        <stp>AMZN US Equity</stp>
        <stp>BS_FUTURE_MIN_OPER_LEASE_OBLIG</stp>
        <stp>FQ4 2008</stp>
        <stp>FQ4 2008</stp>
        <stp>[FA1_j2ahgkxc.xlsx]Bal Sheet - Standardized!R61C42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1" s="3"/>
      </tp>
      <tp>
        <v>487.6</v>
        <stp/>
        <stp>##V3_BDHV12</stp>
        <stp>AMZN US Equity</stp>
        <stp>BS_FUTURE_MIN_OPER_LEASE_OBLIG</stp>
        <stp>FQ2 2005</stp>
        <stp>FQ2 2005</stp>
        <stp>[FA1_j2ahgkxc.xlsx]Bal Sheet - Standardized!R61C28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1" s="3"/>
      </tp>
      <tp>
        <v>143.72200000000001</v>
        <stp/>
        <stp>##V3_BDHV12</stp>
        <stp>AMZN US Equity</stp>
        <stp>BS_INVENTORIES</stp>
        <stp>FQ4 2001</stp>
        <stp>FQ4 2001</stp>
        <stp>[FA1_j2ahgkxc.xlsx]Bal Sheet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3"/>
      </tp>
      <tp t="s">
        <v>—</v>
        <stp/>
        <stp>##V3_BDHV12</stp>
        <stp>AMZN US Equity</stp>
        <stp>BS_FUTURE_MIN_OPER_LEASE_OBLIG</stp>
        <stp>FQ1 2003</stp>
        <stp>FQ1 2003</stp>
        <stp>[FA1_j2ahgkxc.xlsx]Bal Sheet - Standardized!R61C19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1" s="3"/>
      </tp>
      <tp>
        <v>-17.193999999999999</v>
        <stp/>
        <stp>##V3_BDHV12</stp>
        <stp>AMZN US Equity</stp>
        <stp>CF_CASH_FROM_OPER</stp>
        <stp>FQ1 1999</stp>
        <stp>FQ1 1999</stp>
        <stp>[FA1_j2ahgkxc.xlsx]Cash Flow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4"/>
      </tp>
      <tp>
        <v>31.506</v>
        <stp/>
        <stp>##V3_BDHV12</stp>
        <stp>AMZN US Equity</stp>
        <stp>CF_CASH_FROM_OPER</stp>
        <stp>FQ4 1999</stp>
        <stp>FQ4 1999</stp>
        <stp>[FA1_j2ahgkxc.xlsx]Cash Flow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4"/>
      </tp>
      <tp>
        <v>642</v>
        <stp/>
        <stp>##V3_BDHV12</stp>
        <stp>AMZN US Equity</stp>
        <stp>BS_FUTURE_MIN_OPER_LEASE_OBLIG</stp>
        <stp>FQ3 2006</stp>
        <stp>FQ3 2006</stp>
        <stp>[FA1_j2ahgkxc.xlsx]Bal Sheet - Standardized!R61C33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1" s="3"/>
      </tp>
      <tp t="s">
        <v>—</v>
        <stp/>
        <stp>##V3_BDHV12</stp>
        <stp>AMZN US Equity</stp>
        <stp>BS_FUTURE_MIN_OPER_LEASE_OBLIG</stp>
        <stp>FQ1 2002</stp>
        <stp>FQ1 2002</stp>
        <stp>[FA1_j2ahgkxc.xlsx]Bal Sheet - Standardized!R61C15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1" s="3"/>
      </tp>
      <tp>
        <v>202.42500000000001</v>
        <stp/>
        <stp>##V3_BDHV12</stp>
        <stp>AMZN US Equity</stp>
        <stp>BS_INVENTORIES</stp>
        <stp>FQ4 2002</stp>
        <stp>FQ4 2002</stp>
        <stp>[FA1_j2ahgkxc.xlsx]Bal Sheet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3"/>
      </tp>
      <tp t="s">
        <v>—</v>
        <stp/>
        <stp>##V3_BDHV12</stp>
        <stp>AMZN US Equity</stp>
        <stp>BS_FUTURE_MIN_OPER_LEASE_OBLIG</stp>
        <stp>FQ2 2003</stp>
        <stp>FQ2 2003</stp>
        <stp>[FA1_j2ahgkxc.xlsx]Bal Sheet - Standardized!R61C20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1" s="3"/>
      </tp>
      <tp t="s">
        <v>—</v>
        <stp/>
        <stp>##V3_BDHV12</stp>
        <stp>AMZN US Equity</stp>
        <stp>BS_FUTURE_MIN_OPER_LEASE_OBLIG</stp>
        <stp>FQ1 2001</stp>
        <stp>FQ1 2001</stp>
        <stp>[FA1_j2ahgkxc.xlsx]Bal Sheet - Standardized!R61C11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1" s="3"/>
      </tp>
      <tp>
        <v>-29.614000000000001</v>
        <stp/>
        <stp>##V3_BDHV12</stp>
        <stp>AMZN US Equity</stp>
        <stp>CF_CASH_FROM_OPER</stp>
        <stp>FQ2 1999</stp>
        <stp>FQ2 1999</stp>
        <stp>[FA1_j2ahgkxc.xlsx]Cash Flow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4"/>
      </tp>
      <tp>
        <v>-75.572999999999993</v>
        <stp/>
        <stp>##V3_BDHV12</stp>
        <stp>AMZN US Equity</stp>
        <stp>CF_CASH_FROM_OPER</stp>
        <stp>FQ3 1999</stp>
        <stp>FQ3 1999</stp>
        <stp>[FA1_j2ahgkxc.xlsx]Cash Flow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4"/>
      </tp>
      <tp t="s">
        <v>—</v>
        <stp/>
        <stp>##V3_BDHV12</stp>
        <stp>AMZN US Equity</stp>
        <stp>BS_FUTURE_MIN_OPER_LEASE_OBLIG</stp>
        <stp>FQ2 2004</stp>
        <stp>FQ2 2004</stp>
        <stp>[FA1_j2ahgkxc.xlsx]Bal Sheet - Standardized!R61C24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1" s="3"/>
      </tp>
      <tp>
        <v>21</v>
        <stp/>
        <stp>##V3_BDHV12</stp>
        <stp>AMZN US Equity</stp>
        <stp>IS_INT_INC</stp>
        <stp>FQ3 2008</stp>
        <stp>FQ3 2008</stp>
        <stp>[FA1_j2ahgkxc.xlsx]Income - Adjusted!R15C41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5" s="2"/>
      </tp>
      <tp>
        <v>686</v>
        <stp/>
        <stp>##V3_BDHV12</stp>
        <stp>AMZN US Equity</stp>
        <stp>BS_FUTURE_MIN_OPER_LEASE_OBLIG</stp>
        <stp>FQ3 2007</stp>
        <stp>FQ3 2007</stp>
        <stp>[FA1_j2ahgkxc.xlsx]Bal Sheet - Standardized!R61C37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1" s="3"/>
      </tp>
      <tp>
        <v>0</v>
        <stp/>
        <stp>##V3_BDHV12</stp>
        <stp>AMZN US Equity</stp>
        <stp>OTHER_ADJUSTMENTS</stp>
        <stp>FQ1 2008</stp>
        <stp>FQ1 2008</stp>
        <stp>[FA1_j2ahgkxc.xlsx]Income - Adjusted!R28C39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2"/>
      </tp>
      <tp>
        <v>-45.636000000000003</v>
        <stp/>
        <stp>##V3_BDHV12</stp>
        <stp>AMZN US Equity</stp>
        <stp>CF_FREE_CASH_FLOW</stp>
        <stp>FQ3 2000</stp>
        <stp>FQ3 2000</stp>
        <stp>[FA1_j2ahgkxc.xlsx]Cash Flow - Standardized!R49C9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9" s="4"/>
      </tp>
      <tp>
        <v>-82.906999999999996</v>
        <stp/>
        <stp>##V3_BDHV12</stp>
        <stp>AMZN US Equity</stp>
        <stp>CF_FREE_CASH_FLOW</stp>
        <stp>FQ2 2000</stp>
        <stp>FQ2 2000</stp>
        <stp>[FA1_j2ahgkxc.xlsx]Cash Flow - Standardized!R49C8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9" s="4"/>
      </tp>
      <tp>
        <v>443</v>
        <stp/>
        <stp>##V3_BDHV12</stp>
        <stp>AMZN US Equity</stp>
        <stp>BS_OTHER_ASSETS_DEF_CHRG_OTHER</stp>
        <stp>FQ1 2006</stp>
        <stp>FQ1 2006</stp>
        <stp>[FA1_j2ahgkxc.xlsx]Bal Sheet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3"/>
      </tp>
      <tp>
        <v>123.19799999999999</v>
        <stp/>
        <stp>##V3_BDHV12</stp>
        <stp>AMZN US Equity</stp>
        <stp>BS_OTHER_ASSETS_DEF_CHRG_OTHER</stp>
        <stp>FQ3 2002</stp>
        <stp>FQ3 2002</stp>
        <stp>[FA1_j2ahgkxc.xlsx]Bal Sheet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3"/>
      </tp>
      <tp>
        <v>1324</v>
        <stp/>
        <stp>##V3_BDHV12</stp>
        <stp>AMZN US Equity</stp>
        <stp>BS_OTHER_ASSETS_DEF_CHRG_OTHER</stp>
        <stp>FQ1 2008</stp>
        <stp>FQ1 2008</stp>
        <stp>[FA1_j2ahgkxc.xlsx]Bal Sheet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3"/>
      </tp>
      <tp>
        <v>162.37200000000001</v>
        <stp/>
        <stp>##V3_BDHV12</stp>
        <stp>AMZN US Equity</stp>
        <stp>BS_OTHER_ASSETS_DEF_CHRG_OTHER</stp>
        <stp>FQ3 2001</stp>
        <stp>FQ3 2001</stp>
        <stp>[FA1_j2ahgkxc.xlsx]Bal Sheet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3"/>
      </tp>
      <tp>
        <v>619</v>
        <stp/>
        <stp>##V3_BDHV12</stp>
        <stp>AMZN US Equity</stp>
        <stp>BS_OTHER_ASSETS_DEF_CHRG_OTHER</stp>
        <stp>FQ1 2007</stp>
        <stp>FQ1 2007</stp>
        <stp>[FA1_j2ahgkxc.xlsx]Bal Sheet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3"/>
      </tp>
      <tp>
        <v>-346.97899999999998</v>
        <stp/>
        <stp>##V3_BDHV12</stp>
        <stp>AMZN US Equity</stp>
        <stp>CF_FREE_CASH_FLOW</stp>
        <stp>FQ1 2000</stp>
        <stp>FQ1 2000</stp>
        <stp>[FA1_j2ahgkxc.xlsx]Cash Flow - Standardized!R49C7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9" s="4"/>
      </tp>
      <tp>
        <v>319.00299999999999</v>
        <stp/>
        <stp>##V3_BDHV12</stp>
        <stp>AMZN US Equity</stp>
        <stp>IS_OPERATING_EXPN</stp>
        <stp>FQ3 2000</stp>
        <stp>FQ3 2000</stp>
        <stp>[FA1_j2ahgkxc.xlsx]Income - Adjusted!R9C9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-58.1053</v>
        <stp/>
        <stp>##V3_BDHV12</stp>
        <stp>AMZN US Equity</stp>
        <stp>TCE_RATIO</stp>
        <stp>FQ3 2000</stp>
        <stp>FQ3 2000</stp>
        <stp>[FA1_j2ahgkxc.xlsx]Bal Sheet - Standardized!R67C9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7" s="3"/>
      </tp>
      <tp>
        <v>-68.438999999999993</v>
        <stp/>
        <stp>##V3_BDHV12</stp>
        <stp>AMZN US Equity</stp>
        <stp>EBITA</stp>
        <stp>FQ3 2000</stp>
        <stp>FQ3 2000</stp>
        <stp>[FA1_j2ahgkxc.xlsx]Income - Adjusted!R48C9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8" s="2"/>
      </tp>
      <tp>
        <v>-21.000699999999998</v>
        <stp/>
        <stp>##V3_BDHV12</stp>
        <stp>AMZN US Equity</stp>
        <stp>PROF_MARGIN</stp>
        <stp>FQ1 1999</stp>
        <stp>FQ1 1999</stp>
        <stp>[FA1_j2ahgkxc.xlsx]Income - Adjusted!R52C4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2" s="2"/>
      </tp>
      <tp>
        <v>-43.898899999999998</v>
        <stp/>
        <stp>##V3_BDHV12</stp>
        <stp>AMZN US Equity</stp>
        <stp>PROF_MARGIN</stp>
        <stp>FQ2 1999</stp>
        <stp>FQ2 1999</stp>
        <stp>[FA1_j2ahgkxc.xlsx]Income - Adjusted!R52C5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2" s="2"/>
      </tp>
      <tp>
        <v>-55.394199999999998</v>
        <stp/>
        <stp>##V3_BDHV12</stp>
        <stp>AMZN US Equity</stp>
        <stp>PROF_MARGIN</stp>
        <stp>FQ3 1999</stp>
        <stp>FQ3 1999</stp>
        <stp>[FA1_j2ahgkxc.xlsx]Income - Adjusted!R52C6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2" s="2"/>
      </tp>
      <tp>
        <v>-47.809600000000003</v>
        <stp/>
        <stp>##V3_BDHV12</stp>
        <stp>AMZN US Equity</stp>
        <stp>PROF_MARGIN</stp>
        <stp>FQ4 1999</stp>
        <stp>FQ4 1999</stp>
        <stp>[FA1_j2ahgkxc.xlsx]Income - Adjusted!R52C7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2" s="2"/>
      </tp>
      <tp t="s">
        <v>—</v>
        <stp/>
        <stp>##V3_BDHV12</stp>
        <stp>AMZN US Equity</stp>
        <stp>IS_IMPAIRMENT_GOODWILL_INTANGIBL</stp>
        <stp>FQ2 2007</stp>
        <stp>FQ2 2007</stp>
        <stp>[FA1_j2ahgkxc.xlsx]Income - Adjusted!R19C36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2"/>
      </tp>
      <tp>
        <v>0</v>
        <stp/>
        <stp>##V3_BDHV12</stp>
        <stp>AMZN US Equity</stp>
        <stp>IS_IMPAIRMENT_GOODWILL_INTANGIBL</stp>
        <stp>FQ1 2005</stp>
        <stp>FQ1 2005</stp>
        <stp>[FA1_j2ahgkxc.xlsx]Income - Adjusted!R19C27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2"/>
      </tp>
      <tp>
        <v>0</v>
        <stp/>
        <stp>##V3_BDHV12</stp>
        <stp>AMZN US Equity</stp>
        <stp>IS_IMPAIRMENT_GOODWILL_INTANGIBL</stp>
        <stp>FQ3 2006</stp>
        <stp>FQ3 2006</stp>
        <stp>[FA1_j2ahgkxc.xlsx]Income - Adjusted!R19C33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2"/>
      </tp>
      <tp>
        <v>89.552999999999997</v>
        <stp/>
        <stp>##V3_BDHV12</stp>
        <stp>AMZN US Equity</stp>
        <stp>IS_ABNORMAL_ITEM</stp>
        <stp>FQ2 2002</stp>
        <stp>FQ2 2002</stp>
        <stp>[FA1_j2ahgkxc.xlsx]Income - Adjusted!R18C16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2"/>
      </tp>
      <tp>
        <v>147.32499999999999</v>
        <stp/>
        <stp>##V3_BDHV12</stp>
        <stp>AMZN US Equity</stp>
        <stp>IS_ABNORMAL_ITEM</stp>
        <stp>FQ1 2001</stp>
        <stp>FQ1 2001</stp>
        <stp>[FA1_j2ahgkxc.xlsx]Income - Adjusted!R18C11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2"/>
      </tp>
      <tp t="s">
        <v>—</v>
        <stp/>
        <stp>##V3_BDHV12</stp>
        <stp>AMZN US Equity</stp>
        <stp>IS_ABNORMAL_ITEM</stp>
        <stp>FQ4 2006</stp>
        <stp>FQ4 2006</stp>
        <stp>[FA1_j2ahgkxc.xlsx]Income - Adjusted!R18C34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2"/>
      </tp>
      <tp>
        <v>500</v>
        <stp/>
        <stp>##V3_BDHV12</stp>
        <stp>AMZN US Equity</stp>
        <stp>BS_AMT_OF_TSY_STOCK</stp>
        <stp>FQ1 2007</stp>
        <stp>FQ1 2007</stp>
        <stp>[FA1_j2ahgkxc.xlsx]Bal Sheet - Standardized!R49C35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9" s="3"/>
      </tp>
      <tp>
        <v>132.06899999999999</v>
        <stp/>
        <stp>##V3_BDHV12</stp>
        <stp>AMZN US Equity</stp>
        <stp>BS_ACCTS_REC_EXCL_NOTES_REC</stp>
        <stp>FQ4 2003</stp>
        <stp>FQ4 2003</stp>
        <stp>[FA1_j2ahgkxc.xlsx]Bal Sheet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3"/>
      </tp>
      <tp>
        <v>500</v>
        <stp/>
        <stp>##V3_BDHV12</stp>
        <stp>AMZN US Equity</stp>
        <stp>BS_AMT_OF_TSY_STOCK</stp>
        <stp>FQ1 2008</stp>
        <stp>FQ1 2008</stp>
        <stp>[FA1_j2ahgkxc.xlsx]Bal Sheet - Standardized!R49C39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9" s="3"/>
      </tp>
      <tp>
        <v>199.1</v>
        <stp/>
        <stp>##V3_BDHV12</stp>
        <stp>AMZN US Equity</stp>
        <stp>BS_ACCTS_REC_EXCL_NOTES_REC</stp>
        <stp>FQ4 2004</stp>
        <stp>FQ4 2004</stp>
        <stp>[FA1_j2ahgkxc.xlsx]Bal Sheet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3"/>
      </tp>
      <tp>
        <v>0</v>
        <stp/>
        <stp>##V3_BDHV12</stp>
        <stp>AMZN US Equity</stp>
        <stp>BS_AMT_OF_TSY_STOCK</stp>
        <stp>FQ3 2001</stp>
        <stp>FQ3 2001</stp>
        <stp>[FA1_j2ahgkxc.xlsx]Bal Sheet - Standardized!R49C13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9" s="3"/>
      </tp>
      <tp>
        <v>0</v>
        <stp/>
        <stp>##V3_BDHV12</stp>
        <stp>AMZN US Equity</stp>
        <stp>BS_AMT_OF_TSY_STOCK</stp>
        <stp>FQ3 2002</stp>
        <stp>FQ3 2002</stp>
        <stp>[FA1_j2ahgkxc.xlsx]Bal Sheet - Standardized!R49C17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9" s="3"/>
      </tp>
      <tp>
        <v>0</v>
        <stp/>
        <stp>##V3_BDHV12</stp>
        <stp>AMZN US Equity</stp>
        <stp>BS_AMT_OF_TSY_STOCK</stp>
        <stp>FQ1 2006</stp>
        <stp>FQ1 2006</stp>
        <stp>[FA1_j2ahgkxc.xlsx]Bal Sheet - Standardized!R49C31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9" s="3"/>
      </tp>
      <tp>
        <v>586</v>
        <stp/>
        <stp>##V3_BDHV12</stp>
        <stp>AMZN US Equity</stp>
        <stp>BS_ACCTS_REC_EXCL_NOTES_REC</stp>
        <stp>FQ2 2008</stp>
        <stp>FQ2 2008</stp>
        <stp>[FA1_j2ahgkxc.xlsx]Bal Sheet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3"/>
      </tp>
      <tp>
        <v>293.91699999999997</v>
        <stp/>
        <stp>##V3_BDHV12</stp>
        <stp>AMZN US Equity</stp>
        <stp>BS_INVENTORIES</stp>
        <stp>FQ4 2003</stp>
        <stp>FQ4 2003</stp>
        <stp>[FA1_j2ahgkxc.xlsx]Bal Sheet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3"/>
      </tp>
      <tp>
        <v>479.709</v>
        <stp/>
        <stp>##V3_BDHV12</stp>
        <stp>AMZN US Equity</stp>
        <stp>BS_INVENTORIES</stp>
        <stp>FQ4 2004</stp>
        <stp>FQ4 2004</stp>
        <stp>[FA1_j2ahgkxc.xlsx]Bal Sheet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3"/>
      </tp>
      <tp t="s">
        <v>—</v>
        <stp/>
        <stp>##V3_BDHV12</stp>
        <stp>AMZN US Equity</stp>
        <stp>BS_FUTURE_MIN_OPER_LEASE_OBLIG</stp>
        <stp>FQ1 2004</stp>
        <stp>FQ1 2004</stp>
        <stp>[FA1_j2ahgkxc.xlsx]Bal Sheet - Standardized!R61C23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1" s="3"/>
      </tp>
      <tp t="s">
        <v>—</v>
        <stp/>
        <stp>##V3_BDHV12</stp>
        <stp>AMZN US Equity</stp>
        <stp>BS_FUTURE_MIN_OPER_LEASE_OBLIG</stp>
        <stp>FQ2 2002</stp>
        <stp>FQ2 2002</stp>
        <stp>[FA1_j2ahgkxc.xlsx]Bal Sheet - Standardized!R61C16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1" s="3"/>
      </tp>
      <tp t="s">
        <v>—</v>
        <stp/>
        <stp>##V3_BDHV12</stp>
        <stp>AMZN US Equity</stp>
        <stp>BS_FUTURE_MIN_OPER_LEASE_OBLIG</stp>
        <stp>FQ2 2001</stp>
        <stp>FQ2 2001</stp>
        <stp>[FA1_j2ahgkxc.xlsx]Bal Sheet - Standardized!R61C12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1" s="3"/>
      </tp>
      <tp>
        <v>6.54</v>
        <stp/>
        <stp>##V3_BDHV12</stp>
        <stp>AMZN US Equity</stp>
        <stp>IS_INT_INC</stp>
        <stp>FQ1 2003</stp>
        <stp>FQ1 2003</stp>
        <stp>[FA1_j2ahgkxc.xlsx]Income - Adjusted!R15C19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5" s="2"/>
      </tp>
      <tp>
        <v>6.7850000000000001</v>
        <stp/>
        <stp>##V3_BDHV12</stp>
        <stp>AMZN US Equity</stp>
        <stp>IS_INT_INC</stp>
        <stp>FQ4 2002</stp>
        <stp>FQ4 2002</stp>
        <stp>[FA1_j2ahgkxc.xlsx]Income - Adjusted!R15C18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5" s="2"/>
      </tp>
      <tp>
        <v>16</v>
        <stp/>
        <stp>##V3_BDHV12</stp>
        <stp>AMZN US Equity</stp>
        <stp>IS_INT_INC</stp>
        <stp>FQ4 2008</stp>
        <stp>FQ4 2008</stp>
        <stp>[FA1_j2ahgkxc.xlsx]Income - Adjusted!R15C42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5" s="2"/>
      </tp>
      <tp>
        <v>1107</v>
        <stp/>
        <stp>##V3_BDHV12</stp>
        <stp>AMZN US Equity</stp>
        <stp>BS_INVENTORIES</stp>
        <stp>FQ2 2008</stp>
        <stp>FQ2 2008</stp>
        <stp>[FA1_j2ahgkxc.xlsx]Bal Sheet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3"/>
      </tp>
      <tp>
        <v>486.6</v>
        <stp/>
        <stp>##V3_BDHV12</stp>
        <stp>AMZN US Equity</stp>
        <stp>BS_FUTURE_MIN_OPER_LEASE_OBLIG</stp>
        <stp>FQ1 2005</stp>
        <stp>FQ1 2005</stp>
        <stp>[FA1_j2ahgkxc.xlsx]Bal Sheet - Standardized!R61C27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1" s="3"/>
      </tp>
      <tp>
        <v>529</v>
        <stp/>
        <stp>##V3_BDHV12</stp>
        <stp>AMZN US Equity</stp>
        <stp>BS_OTHER_ASSETS_DEF_CHRG_OTHER</stp>
        <stp>FQ2 2006</stp>
        <stp>FQ2 2006</stp>
        <stp>[FA1_j2ahgkxc.xlsx]Bal Sheet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3"/>
      </tp>
      <tp>
        <v>105.077</v>
        <stp/>
        <stp>##V3_BDHV12</stp>
        <stp>AMZN US Equity</stp>
        <stp>BS_OTHER_ASSETS_DEF_CHRG_OTHER</stp>
        <stp>FQ3 2003</stp>
        <stp>FQ3 2003</stp>
        <stp>[FA1_j2ahgkxc.xlsx]Bal Sheet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3"/>
      </tp>
      <tp>
        <v>189.12200000000001</v>
        <stp/>
        <stp>##V3_BDHV12</stp>
        <stp>AMZN US Equity</stp>
        <stp>BS_OTHER_ASSETS_DEF_CHRG_OTHER</stp>
        <stp>FQ3 2004</stp>
        <stp>FQ3 2004</stp>
        <stp>[FA1_j2ahgkxc.xlsx]Bal Sheet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3"/>
      </tp>
      <tp>
        <v>682</v>
        <stp/>
        <stp>##V3_BDHV12</stp>
        <stp>AMZN US Equity</stp>
        <stp>BS_OTHER_ASSETS_DEF_CHRG_OTHER</stp>
        <stp>FQ2 2007</stp>
        <stp>FQ2 2007</stp>
        <stp>[FA1_j2ahgkxc.xlsx]Bal Sheet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3"/>
      </tp>
      <tp>
        <v>389</v>
        <stp/>
        <stp>##V3_BDHV12</stp>
        <stp>AMZN US Equity</stp>
        <stp>BS_OTHER_ASSETS_DEF_CHRG_OTHER</stp>
        <stp>FQ3 2005</stp>
        <stp>FQ3 2005</stp>
        <stp>[FA1_j2ahgkxc.xlsx]Bal Sheet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3"/>
      </tp>
      <tp>
        <v>324.00700000000001</v>
        <stp/>
        <stp>##V3_BDHV12</stp>
        <stp>AMZN US Equity</stp>
        <stp>IS_OPERATING_EXPN</stp>
        <stp>FQ1 2000</stp>
        <stp>FQ1 2000</stp>
        <stp>[FA1_j2ahgkxc.xlsx]Income - Adjusted!R9C8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>
        <v>-29.846800000000002</v>
        <stp/>
        <stp>##V3_BDHV12</stp>
        <stp>AMZN US Equity</stp>
        <stp>TCE_RATIO</stp>
        <stp>FQ1 2000</stp>
        <stp>FQ1 2000</stp>
        <stp>[FA1_j2ahgkxc.xlsx]Bal Sheet - Standardized!R67C8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7" s="3"/>
      </tp>
      <tp>
        <v>-99.266000000000005</v>
        <stp/>
        <stp>##V3_BDHV12</stp>
        <stp>AMZN US Equity</stp>
        <stp>EBITA</stp>
        <stp>FQ1 2000</stp>
        <stp>FQ1 2000</stp>
        <stp>[FA1_j2ahgkxc.xlsx]Income - Adjusted!R48C8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8" s="2"/>
      </tp>
      <tp>
        <v>5.5869</v>
        <stp/>
        <stp>##V3_BDHV12</stp>
        <stp>AMZN US Equity</stp>
        <stp>CASH_ST_INVESTMENTS_PER_SH</stp>
        <stp>FQ2 2008</stp>
        <stp>FQ2 2008</stp>
        <stp>[FA1_j2ahgkxc.xlsx]Per Share!R25C40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5" s="5"/>
      </tp>
      <tp t="s">
        <v>—</v>
        <stp/>
        <stp>##V3_BDHV12</stp>
        <stp>AMZN US Equity</stp>
        <stp>IS_IMPAIRMENT_GOODWILL_INTANGIBL</stp>
        <stp>FQ4 2000</stp>
        <stp>FQ4 2000</stp>
        <stp>[FA1_j2ahgkxc.xlsx]Income - Adjusted!R19C10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2"/>
      </tp>
      <tp>
        <v>-323.21300000000002</v>
        <stp/>
        <stp>##V3_BDHV12</stp>
        <stp>AMZN US Equity</stp>
        <stp>PRETAX_INC</stp>
        <stp>FQ4 1999</stp>
        <stp>FQ4 1999</stp>
        <stp>[FA1_j2ahgkxc.xlsx]Income - Adjusted!R17C7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7" s="2"/>
      </tp>
      <tp t="s">
        <v>—</v>
        <stp/>
        <stp>##V3_BDHV12</stp>
        <stp>AMZN US Equity</stp>
        <stp>IS_IMPAIRMENT_GOODWILL_INTANGIBL</stp>
        <stp>FQ4 2003</stp>
        <stp>FQ4 2003</stp>
        <stp>[FA1_j2ahgkxc.xlsx]Income - Adjusted!R19C22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2"/>
      </tp>
      <tp t="s">
        <v>—</v>
        <stp/>
        <stp>##V3_BDHV12</stp>
        <stp>AMZN US Equity</stp>
        <stp>IS_IMPAIRMENT_GOODWILL_INTANGIBL</stp>
        <stp>FQ3 2004</stp>
        <stp>FQ3 2004</stp>
        <stp>[FA1_j2ahgkxc.xlsx]Income - Adjusted!R19C25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2"/>
      </tp>
      <tp t="s">
        <v>—</v>
        <stp/>
        <stp>##V3_BDHV12</stp>
        <stp>AMZN US Equity</stp>
        <stp>IS_IMPAIRMENT_GOODWILL_INTANGIBL</stp>
        <stp>FQ1 2007</stp>
        <stp>FQ1 2007</stp>
        <stp>[FA1_j2ahgkxc.xlsx]Income - Adjusted!R19C35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2"/>
      </tp>
      <tp>
        <v>-90</v>
        <stp/>
        <stp>##V3_BDHV12</stp>
        <stp>AMZN US Equity</stp>
        <stp>IS_ABNORMAL_ITEM</stp>
        <stp>FQ4 2005</stp>
        <stp>FQ4 2005</stp>
        <stp>[FA1_j2ahgkxc.xlsx]Income - Adjusted!R18C30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2"/>
      </tp>
      <tp>
        <v>19.111999999999998</v>
        <stp/>
        <stp>##V3_BDHV12</stp>
        <stp>AMZN US Equity</stp>
        <stp>IS_ABNORMAL_ITEM</stp>
        <stp>FQ1 2002</stp>
        <stp>FQ1 2002</stp>
        <stp>[FA1_j2ahgkxc.xlsx]Income - Adjusted!R18C15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2"/>
      </tp>
      <tp>
        <v>0</v>
        <stp/>
        <stp>##V3_BDHV12</stp>
        <stp>AMZN US Equity</stp>
        <stp>IS_IMPAIRMENT_GOODWILL_INTANGIBL</stp>
        <stp>FQ2 2005</stp>
        <stp>FQ2 2005</stp>
        <stp>[FA1_j2ahgkxc.xlsx]Income - Adjusted!R19C28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2"/>
      </tp>
      <tp>
        <v>-197.1</v>
        <stp/>
        <stp>##V3_BDHV12</stp>
        <stp>AMZN US Equity</stp>
        <stp>IS_ABNORMAL_ITEM</stp>
        <stp>FQ4 2004</stp>
        <stp>FQ4 2004</stp>
        <stp>[FA1_j2ahgkxc.xlsx]Income - Adjusted!R18C26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2"/>
      </tp>
      <tp>
        <v>32.863999999999997</v>
        <stp/>
        <stp>##V3_BDHV12</stp>
        <stp>AMZN US Equity</stp>
        <stp>IS_ABNORMAL_ITEM</stp>
        <stp>FQ3 2003</stp>
        <stp>FQ3 2003</stp>
        <stp>[FA1_j2ahgkxc.xlsx]Income - Adjusted!R18C21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2"/>
      </tp>
      <tp>
        <v>110.831</v>
        <stp/>
        <stp>##V3_BDHV12</stp>
        <stp>AMZN US Equity</stp>
        <stp>IS_ABNORMAL_ITEM</stp>
        <stp>FQ2 2001</stp>
        <stp>FQ2 2001</stp>
        <stp>[FA1_j2ahgkxc.xlsx]Income - Adjusted!R18C12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2"/>
      </tp>
      <tp>
        <v>0</v>
        <stp/>
        <stp>##V3_BDHV12</stp>
        <stp>AMZN US Equity</stp>
        <stp>BS_AMT_OF_TSY_STOCK</stp>
        <stp>FQ3 2004</stp>
        <stp>FQ3 2004</stp>
        <stp>[FA1_j2ahgkxc.xlsx]Bal Sheet - Standardized!R49C25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9" s="3"/>
      </tp>
      <tp t="s">
        <v>—</v>
        <stp/>
        <stp>##V3_BDHV12</stp>
        <stp>AMZN US Equity</stp>
        <stp>BS_ACCTS_REC_EXCL_NOTES_REC</stp>
        <stp>FQ4 2000</stp>
        <stp>FQ4 2000</stp>
        <stp>[FA1_j2ahgkxc.xlsx]Bal Sheet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3"/>
      </tp>
      <tp>
        <v>500</v>
        <stp/>
        <stp>##V3_BDHV12</stp>
        <stp>AMZN US Equity</stp>
        <stp>BS_AMT_OF_TSY_STOCK</stp>
        <stp>FQ2 2007</stp>
        <stp>FQ2 2007</stp>
        <stp>[FA1_j2ahgkxc.xlsx]Bal Sheet - Standardized!R49C36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9" s="3"/>
      </tp>
      <tp>
        <v>0</v>
        <stp/>
        <stp>##V3_BDHV12</stp>
        <stp>AMZN US Equity</stp>
        <stp>BS_AMT_OF_TSY_STOCK</stp>
        <stp>FQ3 2003</stp>
        <stp>FQ3 2003</stp>
        <stp>[FA1_j2ahgkxc.xlsx]Bal Sheet - Standardized!R49C21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9" s="3"/>
      </tp>
      <tp>
        <v>0</v>
        <stp/>
        <stp>##V3_BDHV12</stp>
        <stp>AMZN US Equity</stp>
        <stp>BS_AMT_OF_TSY_STOCK</stp>
        <stp>FQ2 2006</stp>
        <stp>FQ2 2006</stp>
        <stp>[FA1_j2ahgkxc.xlsx]Bal Sheet - Standardized!R49C32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9" s="3"/>
      </tp>
      <tp t="s">
        <v>—</v>
        <stp/>
        <stp>##V3_BDHV12</stp>
        <stp>AMZN US Equity</stp>
        <stp>BS_ACCTS_REC_EXCL_NOTES_REC</stp>
        <stp>FQ4 2001</stp>
        <stp>FQ4 2001</stp>
        <stp>[FA1_j2ahgkxc.xlsx]Bal Sheet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3"/>
      </tp>
      <tp>
        <v>450</v>
        <stp/>
        <stp>##V3_BDHV12</stp>
        <stp>AMZN US Equity</stp>
        <stp>GROSS_PROFIT</stp>
        <stp>FQ2 2005</stp>
        <stp>FQ2 2005</stp>
        <stp>[FA1_j2ahgkxc.xlsx]Income - Adjusted!R8C28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>
        <v>463</v>
        <stp/>
        <stp>##V3_BDHV12</stp>
        <stp>AMZN US Equity</stp>
        <stp>GROSS_PROFIT</stp>
        <stp>FQ3 2005</stp>
        <stp>FQ3 2005</stp>
        <stp>[FA1_j2ahgkxc.xlsx]Income - Adjusted!R8C29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 t="s">
        <v>—</v>
        <stp/>
        <stp>##V3_BDHV12</stp>
        <stp>AMZN US Equity</stp>
        <stp>BS_FUTURE_MIN_OPER_LEASE_OBLIG</stp>
        <stp>FQ1 1999</stp>
        <stp>FQ1 1999</stp>
        <stp>[FA1_j2ahgkxc.xlsx]Bal Sheet - Standardized!R61C4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1" s="3"/>
      </tp>
      <tp t="s">
        <v>—</v>
        <stp/>
        <stp>##V3_BDHV12</stp>
        <stp>AMZN US Equity</stp>
        <stp>BS_FUTURE_MIN_OPER_LEASE_OBLIG</stp>
        <stp>FQ3 1999</stp>
        <stp>FQ3 1999</stp>
        <stp>[FA1_j2ahgkxc.xlsx]Bal Sheet - Standardized!R61C6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1" s="3"/>
      </tp>
      <tp>
        <v>112.282</v>
        <stp/>
        <stp>##V3_BDHV12</stp>
        <stp>AMZN US Equity</stp>
        <stp>BS_ACCTS_REC_EXCL_NOTES_REC</stp>
        <stp>FQ4 2002</stp>
        <stp>FQ4 2002</stp>
        <stp>[FA1_j2ahgkxc.xlsx]Bal Sheet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3"/>
      </tp>
      <tp t="s">
        <v>—</v>
        <stp/>
        <stp>##V3_BDHV12</stp>
        <stp>AMZN US Equity</stp>
        <stp>BS_FUTURE_MIN_OPER_LEASE_OBLIG</stp>
        <stp>FQ4 1998</stp>
        <stp>FQ4 1998</stp>
        <stp>[FA1_j2ahgkxc.xlsx]Bal Sheet - Standardized!R61C3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1" s="3"/>
      </tp>
      <tp t="s">
        <v>—</v>
        <stp/>
        <stp>##V3_BDHV12</stp>
        <stp>AMZN US Equity</stp>
        <stp>BS_FUTURE_MIN_OPER_LEASE_OBLIG</stp>
        <stp>FQ2 1999</stp>
        <stp>FQ2 1999</stp>
        <stp>[FA1_j2ahgkxc.xlsx]Bal Sheet - Standardized!R61C5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1" s="3"/>
      </tp>
      <tp>
        <v>0</v>
        <stp/>
        <stp>##V3_BDHV12</stp>
        <stp>AMZN US Equity</stp>
        <stp>BS_AMT_OF_TSY_STOCK</stp>
        <stp>FQ3 2005</stp>
        <stp>FQ3 2005</stp>
        <stp>[FA1_j2ahgkxc.xlsx]Bal Sheet - Standardized!R49C29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9" s="3"/>
      </tp>
      <tp t="s">
        <v>—</v>
        <stp/>
        <stp>##V3_BDHV12</stp>
        <stp>AMZN US Equity</stp>
        <stp>BS_FUTURE_MIN_OPER_LEASE_OBLIG</stp>
        <stp>FQ4 1999</stp>
        <stp>FQ4 1999</stp>
        <stp>[FA1_j2ahgkxc.xlsx]Bal Sheet - Standardized!R61C7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1" s="3"/>
      </tp>
      <tp>
        <v>877</v>
        <stp/>
        <stp>##V3_BDHV12</stp>
        <stp>AMZN US Equity</stp>
        <stp>BS_INVENTORIES</stp>
        <stp>FQ4 2006</stp>
        <stp>FQ4 2006</stp>
        <stp>[FA1_j2ahgkxc.xlsx]Bal Sheet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3"/>
      </tp>
      <tp>
        <v>566</v>
        <stp/>
        <stp>##V3_BDHV12</stp>
        <stp>AMZN US Equity</stp>
        <stp>BS_INVENTORIES</stp>
        <stp>FQ4 2005</stp>
        <stp>FQ4 2005</stp>
        <stp>[FA1_j2ahgkxc.xlsx]Bal Sheet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3"/>
      </tp>
      <tp>
        <v>618</v>
        <stp/>
        <stp>##V3_BDHV12</stp>
        <stp>AMZN US Equity</stp>
        <stp>BS_FUTURE_MIN_OPER_LEASE_OBLIG</stp>
        <stp>FQ1 2006</stp>
        <stp>FQ1 2006</stp>
        <stp>[FA1_j2ahgkxc.xlsx]Bal Sheet - Standardized!R61C31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1" s="3"/>
      </tp>
      <tp t="s">
        <v>—</v>
        <stp/>
        <stp>##V3_BDHV12</stp>
        <stp>AMZN US Equity</stp>
        <stp>BS_FUTURE_MIN_OPER_LEASE_OBLIG</stp>
        <stp>FQ3 2002</stp>
        <stp>FQ3 2002</stp>
        <stp>[FA1_j2ahgkxc.xlsx]Bal Sheet - Standardized!R61C17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1" s="3"/>
      </tp>
      <tp>
        <v>700</v>
        <stp/>
        <stp>##V3_BDHV12</stp>
        <stp>AMZN US Equity</stp>
        <stp>BS_FUTURE_MIN_OPER_LEASE_OBLIG</stp>
        <stp>FQ1 2008</stp>
        <stp>FQ1 2008</stp>
        <stp>[FA1_j2ahgkxc.xlsx]Bal Sheet - Standardized!R61C39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1" s="3"/>
      </tp>
      <tp t="s">
        <v>—</v>
        <stp/>
        <stp>##V3_BDHV12</stp>
        <stp>AMZN US Equity</stp>
        <stp>BS_FUTURE_MIN_OPER_LEASE_OBLIG</stp>
        <stp>FQ3 2001</stp>
        <stp>FQ3 2001</stp>
        <stp>[FA1_j2ahgkxc.xlsx]Bal Sheet - Standardized!R61C13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1" s="3"/>
      </tp>
      <tp>
        <v>1200</v>
        <stp/>
        <stp>##V3_BDHV12</stp>
        <stp>AMZN US Equity</stp>
        <stp>BS_INVENTORIES</stp>
        <stp>FQ4 2007</stp>
        <stp>FQ4 2007</stp>
        <stp>[FA1_j2ahgkxc.xlsx]Bal Sheet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3"/>
      </tp>
      <tp>
        <v>1315</v>
        <stp/>
        <stp>##V3_BDHV12</stp>
        <stp>AMZN US Equity</stp>
        <stp>BS_INVENTORIES</stp>
        <stp>FQ3 2008</stp>
        <stp>FQ3 2008</stp>
        <stp>[FA1_j2ahgkxc.xlsx]Bal Sheet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3"/>
      </tp>
      <tp>
        <v>669</v>
        <stp/>
        <stp>##V3_BDHV12</stp>
        <stp>AMZN US Equity</stp>
        <stp>BS_FUTURE_MIN_OPER_LEASE_OBLIG</stp>
        <stp>FQ1 2007</stp>
        <stp>FQ1 2007</stp>
        <stp>[FA1_j2ahgkxc.xlsx]Bal Sheet - Standardized!R61C35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1" s="3"/>
      </tp>
      <tp>
        <v>504</v>
        <stp/>
        <stp>##V3_BDHV12</stp>
        <stp>AMZN US Equity</stp>
        <stp>BS_OTHER_ASSETS_DEF_CHRG_OTHER</stp>
        <stp>FQ3 2006</stp>
        <stp>FQ3 2006</stp>
        <stp>[FA1_j2ahgkxc.xlsx]Bal Sheet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3"/>
      </tp>
      <tp>
        <v>134.482</v>
        <stp/>
        <stp>##V3_BDHV12</stp>
        <stp>AMZN US Equity</stp>
        <stp>BS_OTHER_ASSETS_DEF_CHRG_OTHER</stp>
        <stp>FQ1 2002</stp>
        <stp>FQ1 2002</stp>
        <stp>[FA1_j2ahgkxc.xlsx]Bal Sheet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3"/>
      </tp>
      <tp>
        <v>259.22399999999999</v>
        <stp/>
        <stp>##V3_BDHV12</stp>
        <stp>AMZN US Equity</stp>
        <stp>BS_OTHER_ASSETS_DEF_CHRG_OTHER</stp>
        <stp>FQ1 2001</stp>
        <stp>FQ1 2001</stp>
        <stp>[FA1_j2ahgkxc.xlsx]Bal Sheet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3"/>
      </tp>
      <tp>
        <v>111.16200000000001</v>
        <stp/>
        <stp>##V3_BDHV12</stp>
        <stp>AMZN US Equity</stp>
        <stp>BS_OTHER_ASSETS_DEF_CHRG_OTHER</stp>
        <stp>FQ2 2003</stp>
        <stp>FQ2 2003</stp>
        <stp>[FA1_j2ahgkxc.xlsx]Bal Sheet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3"/>
      </tp>
      <tp>
        <v>111.047</v>
        <stp/>
        <stp>##V3_BDHV12</stp>
        <stp>AMZN US Equity</stp>
        <stp>BS_OTHER_ASSETS_DEF_CHRG_OTHER</stp>
        <stp>FQ2 2004</stp>
        <stp>FQ2 2004</stp>
        <stp>[FA1_j2ahgkxc.xlsx]Bal Sheet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3"/>
      </tp>
      <tp>
        <v>703</v>
        <stp/>
        <stp>##V3_BDHV12</stp>
        <stp>AMZN US Equity</stp>
        <stp>BS_OTHER_ASSETS_DEF_CHRG_OTHER</stp>
        <stp>FQ3 2007</stp>
        <stp>FQ3 2007</stp>
        <stp>[FA1_j2ahgkxc.xlsx]Bal Sheet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3"/>
      </tp>
      <tp>
        <v>1303</v>
        <stp/>
        <stp>##V3_BDHV12</stp>
        <stp>AMZN US Equity</stp>
        <stp>BS_OTHER_ASSETS_DEF_CHRG_OTHER</stp>
        <stp>FQ4 2008</stp>
        <stp>FQ4 2008</stp>
        <stp>[FA1_j2ahgkxc.xlsx]Bal Sheet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3"/>
      </tp>
      <tp>
        <v>0</v>
        <stp/>
        <stp>##V3_BDHV12</stp>
        <stp>AMZN US Equity</stp>
        <stp>OTHER_ADJUSTMENTS</stp>
        <stp>FQ4 2008</stp>
        <stp>FQ4 2008</stp>
        <stp>[FA1_j2ahgkxc.xlsx]Income - Adjusted!R28C42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2"/>
      </tp>
      <tp>
        <v>408</v>
        <stp/>
        <stp>##V3_BDHV12</stp>
        <stp>AMZN US Equity</stp>
        <stp>BS_OTHER_ASSETS_DEF_CHRG_OTHER</stp>
        <stp>FQ2 2005</stp>
        <stp>FQ2 2005</stp>
        <stp>[FA1_j2ahgkxc.xlsx]Bal Sheet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3"/>
      </tp>
      <tp>
        <v>119.705</v>
        <stp/>
        <stp>##V3_BDHV12</stp>
        <stp>AMZN US Equity</stp>
        <stp>BS_OTHER_ASSETS_DEF_CHRG_OTHER</stp>
        <stp>FQ1 2003</stp>
        <stp>FQ1 2003</stp>
        <stp>[FA1_j2ahgkxc.xlsx]Bal Sheet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3"/>
      </tp>
      <tp>
        <v>5.4172000000000002</v>
        <stp/>
        <stp>##V3_BDHV12</stp>
        <stp>AMZN US Equity</stp>
        <stp>CASH_ST_INVESTMENTS_PER_SH</stp>
        <stp>FQ3 2008</stp>
        <stp>FQ3 2008</stp>
        <stp>[FA1_j2ahgkxc.xlsx]Per Share!R25C41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5" s="5"/>
      </tp>
      <tp t="s">
        <v>—</v>
        <stp/>
        <stp>##V3_BDHV12</stp>
        <stp>AMZN US Equity</stp>
        <stp>IS_IMPAIRMENT_GOODWILL_INTANGIBL</stp>
        <stp>FQ2 2004</stp>
        <stp>FQ2 2004</stp>
        <stp>[FA1_j2ahgkxc.xlsx]Income - Adjusted!R19C24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2"/>
      </tp>
      <tp t="s">
        <v>—</v>
        <stp/>
        <stp>##V3_BDHV12</stp>
        <stp>AMZN US Equity</stp>
        <stp>IS_IMPAIRMENT_GOODWILL_INTANGIBL</stp>
        <stp>FQ4 2001</stp>
        <stp>FQ4 2001</stp>
        <stp>[FA1_j2ahgkxc.xlsx]Income - Adjusted!R19C14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2"/>
      </tp>
      <tp>
        <v>60.59</v>
        <stp/>
        <stp>##V3_BDHV12</stp>
        <stp>AMZN US Equity</stp>
        <stp>IS_ABNORMAL_ITEM</stp>
        <stp>FQ1 2003</stp>
        <stp>FQ1 2003</stp>
        <stp>[FA1_j2ahgkxc.xlsx]Income - Adjusted!R18C19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2"/>
      </tp>
      <tp>
        <v>0</v>
        <stp/>
        <stp>##V3_BDHV12</stp>
        <stp>AMZN US Equity</stp>
        <stp>IS_IMPAIRMENT_GOODWILL_INTANGIBL</stp>
        <stp>FQ1 2006</stp>
        <stp>FQ1 2006</stp>
        <stp>[FA1_j2ahgkxc.xlsx]Income - Adjusted!R19C31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2"/>
      </tp>
      <tp>
        <v>0</v>
        <stp/>
        <stp>##V3_BDHV12</stp>
        <stp>AMZN US Equity</stp>
        <stp>IS_IMPAIRMENT_GOODWILL_INTANGIBL</stp>
        <stp>FQ3 2005</stp>
        <stp>FQ3 2005</stp>
        <stp>[FA1_j2ahgkxc.xlsx]Income - Adjusted!R19C29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2"/>
      </tp>
      <tp>
        <v>0</v>
        <stp/>
        <stp>##V3_BDHV12</stp>
        <stp>AMZN US Equity</stp>
        <stp>IS_INC_TAX_EXP</stp>
        <stp>FQ1 2000</stp>
        <stp>FQ1 2000</stp>
        <stp>[FA1_j2ahgkxc.xlsx]Income - Adjusted!R21C8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1" s="2"/>
      </tp>
      <tp>
        <v>3.9939999999999998</v>
        <stp/>
        <stp>##V3_BDHV12</stp>
        <stp>AMZN US Equity</stp>
        <stp>IS_ABNORMAL_ITEM</stp>
        <stp>FQ3 2001</stp>
        <stp>FQ3 2001</stp>
        <stp>[FA1_j2ahgkxc.xlsx]Income - Adjusted!R18C13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2"/>
      </tp>
      <tp>
        <v>85.581999999999994</v>
        <stp/>
        <stp>##V3_BDHV12</stp>
        <stp>AMZN US Equity</stp>
        <stp>IS_ABNORMAL_ITEM</stp>
        <stp>FQ2 2003</stp>
        <stp>FQ2 2003</stp>
        <stp>[FA1_j2ahgkxc.xlsx]Income - Adjusted!R18C20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2"/>
      </tp>
      <tp>
        <v>0</v>
        <stp/>
        <stp>##V3_BDHV12</stp>
        <stp>AMZN US Equity</stp>
        <stp>BS_AMT_OF_TSY_STOCK</stp>
        <stp>FQ2 2004</stp>
        <stp>FQ2 2004</stp>
        <stp>[FA1_j2ahgkxc.xlsx]Bal Sheet - Standardized!R49C24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9" s="3"/>
      </tp>
      <tp>
        <v>353.95400000000001</v>
        <stp/>
        <stp>##V3_BDHV12</stp>
        <stp>AMZN US Equity</stp>
        <stp>IS_AVG_NUM_SH_FOR_EPS</stp>
        <stp>FQ3 2000</stp>
        <stp>FQ3 2000</stp>
        <stp>[FA1_j2ahgkxc.xlsx]Income - Adjusted!R34C9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4" s="2"/>
      </tp>
      <tp>
        <v>500</v>
        <stp/>
        <stp>##V3_BDHV12</stp>
        <stp>AMZN US Equity</stp>
        <stp>BS_AMT_OF_TSY_STOCK</stp>
        <stp>FQ3 2007</stp>
        <stp>FQ3 2007</stp>
        <stp>[FA1_j2ahgkxc.xlsx]Bal Sheet - Standardized!R49C37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9" s="3"/>
      </tp>
      <tp>
        <v>0</v>
        <stp/>
        <stp>##V3_BDHV12</stp>
        <stp>AMZN US Equity</stp>
        <stp>BS_AMT_OF_TSY_STOCK</stp>
        <stp>FQ2 2003</stp>
        <stp>FQ2 2003</stp>
        <stp>[FA1_j2ahgkxc.xlsx]Bal Sheet - Standardized!R49C20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9" s="3"/>
      </tp>
      <tp>
        <v>0</v>
        <stp/>
        <stp>##V3_BDHV12</stp>
        <stp>AMZN US Equity</stp>
        <stp>BS_AMT_OF_TSY_STOCK</stp>
        <stp>FQ1 2001</stp>
        <stp>FQ1 2001</stp>
        <stp>[FA1_j2ahgkxc.xlsx]Bal Sheet - Standardized!R49C11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9" s="3"/>
      </tp>
      <tp>
        <v>0</v>
        <stp/>
        <stp>##V3_BDHV12</stp>
        <stp>AMZN US Equity</stp>
        <stp>BS_AMT_OF_TSY_STOCK</stp>
        <stp>FQ1 2002</stp>
        <stp>FQ1 2002</stp>
        <stp>[FA1_j2ahgkxc.xlsx]Bal Sheet - Standardized!R49C15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9" s="3"/>
      </tp>
      <tp>
        <v>252</v>
        <stp/>
        <stp>##V3_BDHV12</stp>
        <stp>AMZN US Equity</stp>
        <stp>BS_AMT_OF_TSY_STOCK</stp>
        <stp>FQ3 2006</stp>
        <stp>FQ3 2006</stp>
        <stp>[FA1_j2ahgkxc.xlsx]Bal Sheet - Standardized!R49C33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9" s="3"/>
      </tp>
      <tp>
        <v>1348</v>
        <stp/>
        <stp>##V3_BDHV12</stp>
        <stp>AMZN US Equity</stp>
        <stp>GROSS_PROFIT</stp>
        <stp>FQ4 2008</stp>
        <stp>FQ4 2008</stp>
        <stp>[FA1_j2ahgkxc.xlsx]Income - Adjusted!R8C42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8" s="2"/>
      </tp>
      <tp>
        <v>0</v>
        <stp/>
        <stp>##V3_BDHV12</stp>
        <stp>AMZN US Equity</stp>
        <stp>BS_AMT_OF_TSY_STOCK</stp>
        <stp>FQ1 2003</stp>
        <stp>FQ1 2003</stp>
        <stp>[FA1_j2ahgkxc.xlsx]Bal Sheet - Standardized!R49C19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9" s="3"/>
      </tp>
      <tp>
        <v>600</v>
        <stp/>
        <stp>##V3_BDHV12</stp>
        <stp>AMZN US Equity</stp>
        <stp>BS_AMT_OF_TSY_STOCK</stp>
        <stp>FQ4 2008</stp>
        <stp>FQ4 2008</stp>
        <stp>[FA1_j2ahgkxc.xlsx]Bal Sheet - Standardized!R49C42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9" s="3"/>
      </tp>
      <tp>
        <v>0</v>
        <stp/>
        <stp>##V3_BDHV12</stp>
        <stp>AMZN US Equity</stp>
        <stp>BS_AMT_OF_TSY_STOCK</stp>
        <stp>FQ2 2005</stp>
        <stp>FQ2 2005</stp>
        <stp>[FA1_j2ahgkxc.xlsx]Bal Sheet - Standardized!R49C28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9" s="3"/>
      </tp>
      <tp>
        <v>335.15890000000002</v>
        <stp/>
        <stp>##V3_BDHV12</stp>
        <stp>AMZN US Equity</stp>
        <stp>GROSS_PROFIT</stp>
        <stp>FQ4 2002</stp>
        <stp>FQ4 2002</stp>
        <stp>[FA1_j2ahgkxc.xlsx]Income - Adjusted!R8C18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353.95400000000001</v>
        <stp/>
        <stp>##V3_BDHV12</stp>
        <stp>AMZN US Equity</stp>
        <stp>IS_SH_FOR_DILUTED_EPS</stp>
        <stp>FQ3 2000</stp>
        <stp>FQ3 2000</stp>
        <stp>[FA1_j2ahgkxc.xlsx]Income - Adjusted!R39C9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9" s="2"/>
      </tp>
      <tp>
        <v>-0.25</v>
        <stp/>
        <stp>##V3_BDHV12</stp>
        <stp>AMZN US Equity</stp>
        <stp>IS_BASIC_EPS_CONT_OPS</stp>
        <stp>FQ3 2000</stp>
        <stp>FQ3 2000</stp>
        <stp>[FA1_j2ahgkxc.xlsx]Income - Adjusted!R37C9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7" s="2"/>
      </tp>
      <tp t="s">
        <v>—</v>
        <stp/>
        <stp>##V3_BDHV12</stp>
        <stp>AMZN US Equity</stp>
        <stp>BS_FUTURE_MIN_OPER_LEASE_OBLIG</stp>
        <stp>FQ4 2002</stp>
        <stp>FQ4 2002</stp>
        <stp>[FA1_j2ahgkxc.xlsx]Bal Sheet - Standardized!R61C18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1" s="3"/>
      </tp>
      <tp>
        <v>138.99600000000001</v>
        <stp/>
        <stp>##V3_BDHV12</stp>
        <stp>AMZN US Equity</stp>
        <stp>BS_INVENTORIES</stp>
        <stp>FQ1 2002</stp>
        <stp>FQ1 2002</stp>
        <stp>[FA1_j2ahgkxc.xlsx]Bal Sheet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3"/>
      </tp>
      <tp>
        <v>736</v>
        <stp/>
        <stp>##V3_BDHV12</stp>
        <stp>AMZN US Equity</stp>
        <stp>BS_INVENTORIES</stp>
        <stp>FQ3 2006</stp>
        <stp>FQ3 2006</stp>
        <stp>[FA1_j2ahgkxc.xlsx]Bal Sheet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3"/>
      </tp>
      <tp>
        <v>178.107</v>
        <stp/>
        <stp>##V3_BDHV12</stp>
        <stp>AMZN US Equity</stp>
        <stp>BS_INVENTORIES</stp>
        <stp>FQ2 2003</stp>
        <stp>FQ2 2003</stp>
        <stp>[FA1_j2ahgkxc.xlsx]Bal Sheet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3"/>
      </tp>
      <tp>
        <v>155.56200000000001</v>
        <stp/>
        <stp>##V3_BDHV12</stp>
        <stp>AMZN US Equity</stp>
        <stp>BS_INVENTORIES</stp>
        <stp>FQ1 2001</stp>
        <stp>FQ1 2001</stp>
        <stp>[FA1_j2ahgkxc.xlsx]Bal Sheet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3"/>
      </tp>
      <tp>
        <v>970</v>
        <stp/>
        <stp>##V3_BDHV12</stp>
        <stp>AMZN US Equity</stp>
        <stp>BS_INVENTORIES</stp>
        <stp>FQ3 2007</stp>
        <stp>FQ3 2007</stp>
        <stp>[FA1_j2ahgkxc.xlsx]Bal Sheet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3"/>
      </tp>
      <tp>
        <v>284.19400000000002</v>
        <stp/>
        <stp>##V3_BDHV12</stp>
        <stp>AMZN US Equity</stp>
        <stp>BS_INVENTORIES</stp>
        <stp>FQ2 2004</stp>
        <stp>FQ2 2004</stp>
        <stp>[FA1_j2ahgkxc.xlsx]Bal Sheet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3"/>
      </tp>
      <tp t="s">
        <v>—</v>
        <stp/>
        <stp>##V3_BDHV12</stp>
        <stp>AMZN US Equity</stp>
        <stp>BS_FUTURE_MIN_OPER_LEASE_OBLIG</stp>
        <stp>FQ4 2000</stp>
        <stp>FQ4 2000</stp>
        <stp>[FA1_j2ahgkxc.xlsx]Bal Sheet - Standardized!R61C10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1" s="3"/>
      </tp>
      <tp>
        <v>383</v>
        <stp/>
        <stp>##V3_BDHV12</stp>
        <stp>AMZN US Equity</stp>
        <stp>BS_INVENTORIES</stp>
        <stp>FQ2 2005</stp>
        <stp>FQ2 2005</stp>
        <stp>[FA1_j2ahgkxc.xlsx]Bal Sheet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3"/>
      </tp>
      <tp>
        <v>1399</v>
        <stp/>
        <stp>##V3_BDHV12</stp>
        <stp>AMZN US Equity</stp>
        <stp>BS_INVENTORIES</stp>
        <stp>FQ4 2008</stp>
        <stp>FQ4 2008</stp>
        <stp>[FA1_j2ahgkxc.xlsx]Bal Sheet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3"/>
      </tp>
      <tp t="s">
        <v>—</v>
        <stp/>
        <stp>##V3_BDHV12</stp>
        <stp>AMZN US Equity</stp>
        <stp>BS_FUTURE_MIN_OPER_LEASE_OBLIG</stp>
        <stp>FQ4 2001</stp>
        <stp>FQ4 2001</stp>
        <stp>[FA1_j2ahgkxc.xlsx]Bal Sheet - Standardized!R61C14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1" s="3"/>
      </tp>
      <tp>
        <v>173.03</v>
        <stp/>
        <stp>##V3_BDHV12</stp>
        <stp>AMZN US Equity</stp>
        <stp>BS_INVENTORIES</stp>
        <stp>FQ1 2003</stp>
        <stp>FQ1 2003</stp>
        <stp>[FA1_j2ahgkxc.xlsx]Bal Sheet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3"/>
      </tp>
      <tp>
        <v>12</v>
        <stp/>
        <stp>##V3_BDHV12</stp>
        <stp>AMZN US Equity</stp>
        <stp>IS_INT_INC</stp>
        <stp>FQ3 2005</stp>
        <stp>FQ3 2005</stp>
        <stp>[FA1_j2ahgkxc.xlsx]Income - Adjusted!R15C29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5" s="2"/>
      </tp>
      <tp>
        <v>533</v>
        <stp/>
        <stp>##V3_BDHV12</stp>
        <stp>AMZN US Equity</stp>
        <stp>BS_OTHER_ASSETS_DEF_CHRG_OTHER</stp>
        <stp>FQ4 2006</stp>
        <stp>FQ4 2006</stp>
        <stp>[FA1_j2ahgkxc.xlsx]Bal Sheet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3"/>
      </tp>
      <tp>
        <v>419</v>
        <stp/>
        <stp>##V3_BDHV12</stp>
        <stp>AMZN US Equity</stp>
        <stp>BS_OTHER_ASSETS_DEF_CHRG_OTHER</stp>
        <stp>FQ4 2005</stp>
        <stp>FQ4 2005</stp>
        <stp>[FA1_j2ahgkxc.xlsx]Bal Sheet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3"/>
      </tp>
      <tp>
        <v>0</v>
        <stp/>
        <stp>##V3_BDHV12</stp>
        <stp>AMZN US Equity</stp>
        <stp>OTHER_ADJUSTMENTS</stp>
        <stp>FQ3 2008</stp>
        <stp>FQ3 2008</stp>
        <stp>[FA1_j2ahgkxc.xlsx]Income - Adjusted!R28C41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2"/>
      </tp>
      <tp>
        <v>1405</v>
        <stp/>
        <stp>##V3_BDHV12</stp>
        <stp>AMZN US Equity</stp>
        <stp>BS_OTHER_ASSETS_DEF_CHRG_OTHER</stp>
        <stp>FQ3 2008</stp>
        <stp>FQ3 2008</stp>
        <stp>[FA1_j2ahgkxc.xlsx]Bal Sheet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3"/>
      </tp>
      <tp>
        <v>778</v>
        <stp/>
        <stp>##V3_BDHV12</stp>
        <stp>AMZN US Equity</stp>
        <stp>BS_OTHER_ASSETS_DEF_CHRG_OTHER</stp>
        <stp>FQ4 2007</stp>
        <stp>FQ4 2007</stp>
        <stp>[FA1_j2ahgkxc.xlsx]Bal Sheet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3"/>
      </tp>
      <tp t="s">
        <v>—</v>
        <stp/>
        <stp>##V3_BDHV12</stp>
        <stp>AMZN US Equity</stp>
        <stp>BS_TOTAL_CAPITAL_LEASES</stp>
        <stp>FQ3 2000</stp>
        <stp>FQ3 2000</stp>
        <stp>[FA1_j2ahgkxc.xlsx]Bal Sheet - Standardized!R62C9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2" s="3"/>
      </tp>
      <tp t="s">
        <v>—</v>
        <stp/>
        <stp>##V3_BDHV12</stp>
        <stp>AMZN US Equity</stp>
        <stp>BS_TOTAL_CAPITAL_LEASES</stp>
        <stp>FQ1 2000</stp>
        <stp>FQ1 2000</stp>
        <stp>[FA1_j2ahgkxc.xlsx]Bal Sheet - Standardized!R62C8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2" s="3"/>
      </tp>
      <tp>
        <v>-11.9869</v>
        <stp/>
        <stp>##V3_BDHV12</stp>
        <stp>AMZN US Equity</stp>
        <stp>CHG_PCT_PERIOD</stp>
        <stp>FQ1 2000</stp>
        <stp>FQ1 2000</stp>
        <stp>[FA1_j2ahgkxc.xlsx]Stock Value!R7C7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6"/>
      </tp>
      <tp>
        <v>40</v>
        <stp/>
        <stp>##V3_BDHV12</stp>
        <stp>AMZN US Equity</stp>
        <stp>IS_ABNORMAL_ITEM</stp>
        <stp>FQ3 2005</stp>
        <stp>FQ3 2005</stp>
        <stp>[FA1_j2ahgkxc.xlsx]Income - Adjusted!R18C29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2"/>
      </tp>
      <tp>
        <v>-61.667000000000002</v>
        <stp/>
        <stp>##V3_BDHV12</stp>
        <stp>AMZN US Equity</stp>
        <stp>PRETAX_INC</stp>
        <stp>FQ1 1999</stp>
        <stp>FQ1 1999</stp>
        <stp>[FA1_j2ahgkxc.xlsx]Income - Adjusted!R17C4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7" s="2"/>
      </tp>
      <tp>
        <v>-197.08</v>
        <stp/>
        <stp>##V3_BDHV12</stp>
        <stp>AMZN US Equity</stp>
        <stp>PRETAX_INC</stp>
        <stp>FQ3 1999</stp>
        <stp>FQ3 1999</stp>
        <stp>[FA1_j2ahgkxc.xlsx]Income - Adjusted!R17C6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7" s="2"/>
      </tp>
      <tp t="s">
        <v>—</v>
        <stp/>
        <stp>##V3_BDHV12</stp>
        <stp>AMZN US Equity</stp>
        <stp>IS_IMPAIRMENT_GOODWILL_INTANGIBL</stp>
        <stp>FQ3 2001</stp>
        <stp>FQ3 2001</stp>
        <stp>[FA1_j2ahgkxc.xlsx]Income - Adjusted!R19C13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2"/>
      </tp>
      <tp t="s">
        <v>—</v>
        <stp/>
        <stp>##V3_BDHV12</stp>
        <stp>AMZN US Equity</stp>
        <stp>IS_IMPAIRMENT_GOODWILL_INTANGIBL</stp>
        <stp>FQ2 2003</stp>
        <stp>FQ2 2003</stp>
        <stp>[FA1_j2ahgkxc.xlsx]Income - Adjusted!R19C20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2"/>
      </tp>
      <tp>
        <v>29.698</v>
        <stp/>
        <stp>##V3_BDHV12</stp>
        <stp>AMZN US Equity</stp>
        <stp>IS_ABNORMAL_ITEM</stp>
        <stp>FQ4 2001</stp>
        <stp>FQ4 2001</stp>
        <stp>[FA1_j2ahgkxc.xlsx]Income - Adjusted!R18C14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2"/>
      </tp>
      <tp t="s">
        <v>—</v>
        <stp/>
        <stp>##V3_BDHV12</stp>
        <stp>AMZN US Equity</stp>
        <stp>IS_IMPAIRMENT_GOODWILL_INTANGIBL</stp>
        <stp>FQ1 2003</stp>
        <stp>FQ1 2003</stp>
        <stp>[FA1_j2ahgkxc.xlsx]Income - Adjusted!R19C19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2"/>
      </tp>
      <tp t="s">
        <v>—</v>
        <stp/>
        <stp>##V3_BDHV12</stp>
        <stp>AMZN US Equity</stp>
        <stp>IS_ABNORMAL_ITEM</stp>
        <stp>FQ1 2006</stp>
        <stp>FQ1 2006</stp>
        <stp>[FA1_j2ahgkxc.xlsx]Income - Adjusted!R18C31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2"/>
      </tp>
      <tp>
        <v>-1.76</v>
        <stp/>
        <stp>##V3_BDHV12</stp>
        <stp>AMZN US Equity</stp>
        <stp>IS_ABNORMAL_ITEM</stp>
        <stp>FQ2 2004</stp>
        <stp>FQ2 2004</stp>
        <stp>[FA1_j2ahgkxc.xlsx]Income - Adjusted!R18C24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2"/>
      </tp>
      <tp t="s">
        <v>—</v>
        <stp/>
        <stp>##V3_BDHV12</stp>
        <stp>AMZN US Equity</stp>
        <stp>BS_ACCTS_REC_EXCL_NOTES_REC</stp>
        <stp>FQ1 2004</stp>
        <stp>FQ1 2004</stp>
        <stp>[FA1_j2ahgkxc.xlsx]Bal Sheet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3"/>
      </tp>
      <tp t="s">
        <v>—</v>
        <stp/>
        <stp>##V3_BDHV12</stp>
        <stp>AMZN US Equity</stp>
        <stp>BS_ACCTS_REC_EXCL_NOTES_REC</stp>
        <stp>FQ2 2002</stp>
        <stp>FQ2 2002</stp>
        <stp>[FA1_j2ahgkxc.xlsx]Bal Sheet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3"/>
      </tp>
      <tp>
        <v>0</v>
        <stp/>
        <stp>##V3_BDHV12</stp>
        <stp>AMZN US Equity</stp>
        <stp>BS_AMT_OF_TSY_STOCK</stp>
        <stp>FQ4 2005</stp>
        <stp>FQ4 2005</stp>
        <stp>[FA1_j2ahgkxc.xlsx]Bal Sheet - Standardized!R49C30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9" s="3"/>
      </tp>
      <tp>
        <v>252</v>
        <stp/>
        <stp>##V3_BDHV12</stp>
        <stp>AMZN US Equity</stp>
        <stp>BS_AMT_OF_TSY_STOCK</stp>
        <stp>FQ4 2006</stp>
        <stp>FQ4 2006</stp>
        <stp>[FA1_j2ahgkxc.xlsx]Bal Sheet - Standardized!R49C34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9" s="3"/>
      </tp>
      <tp t="s">
        <v>—</v>
        <stp/>
        <stp>##V3_BDHV12</stp>
        <stp>AMZN US Equity</stp>
        <stp>BS_ACCTS_REC_EXCL_NOTES_REC</stp>
        <stp>FQ2 2001</stp>
        <stp>FQ2 2001</stp>
        <stp>[FA1_j2ahgkxc.xlsx]Bal Sheet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3"/>
      </tp>
      <tp>
        <v>0</v>
        <stp/>
        <stp>##V3_BDHV12</stp>
        <stp>AMZN US Equity</stp>
        <stp>IS_FOREIGN_EXCH_LOSS</stp>
        <stp>FQ2 1999</stp>
        <stp>FQ2 1999</stp>
        <stp>[FA1_j2ahgkxc.xlsx]Income - Adjusted!R16C5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2"/>
      </tp>
      <tp>
        <v>171</v>
        <stp/>
        <stp>##V3_BDHV12</stp>
        <stp>AMZN US Equity</stp>
        <stp>BS_ACCTS_REC_EXCL_NOTES_REC</stp>
        <stp>FQ1 2005</stp>
        <stp>FQ1 2005</stp>
        <stp>[FA1_j2ahgkxc.xlsx]Bal Sheet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3"/>
      </tp>
      <tp>
        <v>500</v>
        <stp/>
        <stp>##V3_BDHV12</stp>
        <stp>AMZN US Equity</stp>
        <stp>BS_AMT_OF_TSY_STOCK</stp>
        <stp>FQ3 2008</stp>
        <stp>FQ3 2008</stp>
        <stp>[FA1_j2ahgkxc.xlsx]Bal Sheet - Standardized!R49C41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9" s="3"/>
      </tp>
      <tp>
        <v>500</v>
        <stp/>
        <stp>##V3_BDHV12</stp>
        <stp>AMZN US Equity</stp>
        <stp>BS_AMT_OF_TSY_STOCK</stp>
        <stp>FQ4 2007</stp>
        <stp>FQ4 2007</stp>
        <stp>[FA1_j2ahgkxc.xlsx]Bal Sheet - Standardized!R49C38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9" s="3"/>
      </tp>
      <tp>
        <v>202.7</v>
        <stp/>
        <stp>##V3_BDHV12</stp>
        <stp>AMZN US Equity</stp>
        <stp>CF_CHNG_NON_CASH_WORK_CAP</stp>
        <stp>FQ4 1999</stp>
        <stp>FQ4 1999</stp>
        <stp>[FA1_j2ahgkxc.xlsx]Cash Flow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4"/>
      </tp>
      <tp>
        <v>-7.2969999999999997</v>
        <stp/>
        <stp>##V3_BDHV12</stp>
        <stp>AMZN US Equity</stp>
        <stp>CF_CHNG_NON_CASH_WORK_CAP</stp>
        <stp>FQ1 1999</stp>
        <stp>FQ1 1999</stp>
        <stp>[FA1_j2ahgkxc.xlsx]Cash Flow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4"/>
      </tp>
      <tp>
        <v>521</v>
        <stp/>
        <stp>##V3_BDHV12</stp>
        <stp>AMZN US Equity</stp>
        <stp>BS_INVENTORIES</stp>
        <stp>FQ2 2006</stp>
        <stp>FQ2 2006</stp>
        <stp>[FA1_j2ahgkxc.xlsx]Bal Sheet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3"/>
      </tp>
      <tp>
        <v>241.667</v>
        <stp/>
        <stp>##V3_BDHV12</stp>
        <stp>AMZN US Equity</stp>
        <stp>BS_INVENTORIES</stp>
        <stp>FQ3 2003</stp>
        <stp>FQ3 2003</stp>
        <stp>[FA1_j2ahgkxc.xlsx]Bal Sheet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3"/>
      </tp>
      <tp>
        <v>38.317999999999998</v>
        <stp/>
        <stp>##V3_BDHV12</stp>
        <stp>AMZN US Equity</stp>
        <stp>CF_CHNG_NON_CASH_WORK_CAP</stp>
        <stp>FQ2 1999</stp>
        <stp>FQ2 1999</stp>
        <stp>[FA1_j2ahgkxc.xlsx]Cash Flow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4"/>
      </tp>
      <tp>
        <v>-3.609</v>
        <stp/>
        <stp>##V3_BDHV12</stp>
        <stp>AMZN US Equity</stp>
        <stp>CF_CHNG_NON_CASH_WORK_CAP</stp>
        <stp>FQ3 1999</stp>
        <stp>FQ3 1999</stp>
        <stp>[FA1_j2ahgkxc.xlsx]Cash Flow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735</v>
        <stp/>
        <stp>##V3_BDHV12</stp>
        <stp>AMZN US Equity</stp>
        <stp>BS_INVENTORIES</stp>
        <stp>FQ2 2007</stp>
        <stp>FQ2 2007</stp>
        <stp>[FA1_j2ahgkxc.xlsx]Bal Sheet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3"/>
      </tp>
      <tp>
        <v>357.32</v>
        <stp/>
        <stp>##V3_BDHV12</stp>
        <stp>AMZN US Equity</stp>
        <stp>BS_INVENTORIES</stp>
        <stp>FQ3 2004</stp>
        <stp>FQ3 2004</stp>
        <stp>[FA1_j2ahgkxc.xlsx]Bal Sheet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3"/>
      </tp>
      <tp>
        <v>456</v>
        <stp/>
        <stp>##V3_BDHV12</stp>
        <stp>AMZN US Equity</stp>
        <stp>BS_INVENTORIES</stp>
        <stp>FQ3 2005</stp>
        <stp>FQ3 2005</stp>
        <stp>[FA1_j2ahgkxc.xlsx]Bal Sheet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3"/>
      </tp>
      <tp>
        <v>9</v>
        <stp/>
        <stp>##V3_BDHV12</stp>
        <stp>AMZN US Equity</stp>
        <stp>IS_INT_INC</stp>
        <stp>FQ2 2005</stp>
        <stp>FQ2 2005</stp>
        <stp>[FA1_j2ahgkxc.xlsx]Income - Adjusted!R15C28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5" s="2"/>
      </tp>
      <tp>
        <v>102.108</v>
        <stp/>
        <stp>##V3_BDHV12</stp>
        <stp>AMZN US Equity</stp>
        <stp>BS_OTHER_ASSETS_DEF_CHRG_OTHER</stp>
        <stp>FQ4 2003</stp>
        <stp>FQ4 2003</stp>
        <stp>[FA1_j2ahgkxc.xlsx]Bal Sheet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3"/>
      </tp>
      <tp>
        <v>462.95600000000002</v>
        <stp/>
        <stp>##V3_BDHV12</stp>
        <stp>AMZN US Equity</stp>
        <stp>BS_OTHER_ASSETS_DEF_CHRG_OTHER</stp>
        <stp>FQ4 2004</stp>
        <stp>FQ4 2004</stp>
        <stp>[FA1_j2ahgkxc.xlsx]Bal Sheet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3"/>
      </tp>
      <tp>
        <v>0</v>
        <stp/>
        <stp>##V3_BDHV12</stp>
        <stp>AMZN US Equity</stp>
        <stp>OTHER_ADJUSTMENTS</stp>
        <stp>FQ2 2008</stp>
        <stp>FQ2 2008</stp>
        <stp>[FA1_j2ahgkxc.xlsx]Income - Adjusted!R28C40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2"/>
      </tp>
      <tp>
        <v>1435</v>
        <stp/>
        <stp>##V3_BDHV12</stp>
        <stp>AMZN US Equity</stp>
        <stp>BS_OTHER_ASSETS_DEF_CHRG_OTHER</stp>
        <stp>FQ2 2008</stp>
        <stp>FQ2 2008</stp>
        <stp>[FA1_j2ahgkxc.xlsx]Bal Sheet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3"/>
      </tp>
      <tp>
        <v>7.2203999999999997</v>
        <stp/>
        <stp>##V3_BDHV12</stp>
        <stp>AMZN US Equity</stp>
        <stp>CASH_ST_INVESTMENTS_PER_SH</stp>
        <stp>FQ4 2007</stp>
        <stp>FQ4 2007</stp>
        <stp>[FA1_j2ahgkxc.xlsx]Per Share!R25C38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5" s="5"/>
      </tp>
      <tp>
        <v>261.58699999999999</v>
        <stp/>
        <stp>##V3_BDHV12</stp>
        <stp>AMZN US Equity</stp>
        <stp>OTHER_CURRENT_LIABS_DETAILED</stp>
        <stp>FQ4 1999</stp>
        <stp>FQ4 1999</stp>
        <stp>[FA1_j2ahgkxc.xlsx]Bal Sheet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47.618000000000002</v>
        <stp/>
        <stp>##V3_BDHV12</stp>
        <stp>AMZN US Equity</stp>
        <stp>OTHER_CURRENT_LIABS_DETAILED</stp>
        <stp>FQ4 1998</stp>
        <stp>FQ4 1998</stp>
        <stp>[FA1_j2ahgkxc.xlsx]Bal Sheet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102.08799999999999</v>
        <stp/>
        <stp>##V3_BDHV12</stp>
        <stp>AMZN US Equity</stp>
        <stp>OTHER_CURRENT_LIABS_DETAILED</stp>
        <stp>FQ2 1999</stp>
        <stp>FQ2 1999</stp>
        <stp>[FA1_j2ahgkxc.xlsx]Bal Sheet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61.381</v>
        <stp/>
        <stp>##V3_BDHV12</stp>
        <stp>AMZN US Equity</stp>
        <stp>OTHER_CURRENT_LIABS_DETAILED</stp>
        <stp>FQ1 1999</stp>
        <stp>FQ1 1999</stp>
        <stp>[FA1_j2ahgkxc.xlsx]Bal Sheet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108.184</v>
        <stp/>
        <stp>##V3_BDHV12</stp>
        <stp>AMZN US Equity</stp>
        <stp>OTHER_CURRENT_LIABS_DETAILED</stp>
        <stp>FQ3 1999</stp>
        <stp>FQ3 1999</stp>
        <stp>[FA1_j2ahgkxc.xlsx]Bal Sheet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3"/>
      </tp>
      <tp t="s">
        <v>—</v>
        <stp/>
        <stp>##V3_BDHV12</stp>
        <stp>AMZN US Equity</stp>
        <stp>IS_ABNORMAL_ITEM</stp>
        <stp>FQ2 2005</stp>
        <stp>FQ2 2005</stp>
        <stp>[FA1_j2ahgkxc.xlsx]Income - Adjusted!R18C28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2"/>
      </tp>
      <tp t="s">
        <v>—</v>
        <stp/>
        <stp>##V3_BDHV12</stp>
        <stp>AMZN US Equity</stp>
        <stp>IS_IMPAIRMENT_GOODWILL_INTANGIBL</stp>
        <stp>FQ4 2004</stp>
        <stp>FQ4 2004</stp>
        <stp>[FA1_j2ahgkxc.xlsx]Income - Adjusted!R19C26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2"/>
      </tp>
      <tp t="s">
        <v>—</v>
        <stp/>
        <stp>##V3_BDHV12</stp>
        <stp>AMZN US Equity</stp>
        <stp>IS_IMPAIRMENT_GOODWILL_INTANGIBL</stp>
        <stp>FQ3 2003</stp>
        <stp>FQ3 2003</stp>
        <stp>[FA1_j2ahgkxc.xlsx]Income - Adjusted!R19C21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2"/>
      </tp>
      <tp t="s">
        <v>—</v>
        <stp/>
        <stp>##V3_BDHV12</stp>
        <stp>AMZN US Equity</stp>
        <stp>IS_IMPAIRMENT_GOODWILL_INTANGIBL</stp>
        <stp>FQ2 2001</stp>
        <stp>FQ2 2001</stp>
        <stp>[FA1_j2ahgkxc.xlsx]Income - Adjusted!R19C12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2"/>
      </tp>
      <tp>
        <v>0</v>
        <stp/>
        <stp>##V3_BDHV12</stp>
        <stp>AMZN US Equity</stp>
        <stp>IS_IMPAIRMENT_GOODWILL_INTANGIBL</stp>
        <stp>FQ4 2005</stp>
        <stp>FQ4 2005</stp>
        <stp>[FA1_j2ahgkxc.xlsx]Income - Adjusted!R19C30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2"/>
      </tp>
      <tp t="s">
        <v>—</v>
        <stp/>
        <stp>##V3_BDHV12</stp>
        <stp>AMZN US Equity</stp>
        <stp>IS_IMPAIRMENT_GOODWILL_INTANGIBL</stp>
        <stp>FQ1 2002</stp>
        <stp>FQ1 2002</stp>
        <stp>[FA1_j2ahgkxc.xlsx]Income - Adjusted!R19C15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2"/>
      </tp>
      <tp>
        <v>454.714</v>
        <stp/>
        <stp>##V3_BDHV12</stp>
        <stp>AMZN US Equity</stp>
        <stp>IS_ABNORMAL_ITEM</stp>
        <stp>FQ4 2000</stp>
        <stp>FQ4 2000</stp>
        <stp>[FA1_j2ahgkxc.xlsx]Income - Adjusted!R18C10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2"/>
      </tp>
      <tp>
        <v>51.825000000000003</v>
        <stp/>
        <stp>##V3_BDHV12</stp>
        <stp>AMZN US Equity</stp>
        <stp>IS_ABNORMAL_ITEM</stp>
        <stp>FQ4 2003</stp>
        <stp>FQ4 2003</stp>
        <stp>[FA1_j2ahgkxc.xlsx]Income - Adjusted!R18C22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2"/>
      </tp>
      <tp>
        <v>19.22</v>
        <stp/>
        <stp>##V3_BDHV12</stp>
        <stp>AMZN US Equity</stp>
        <stp>IS_ABNORMAL_ITEM</stp>
        <stp>FQ3 2004</stp>
        <stp>FQ3 2004</stp>
        <stp>[FA1_j2ahgkxc.xlsx]Income - Adjusted!R18C25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2"/>
      </tp>
      <tp t="s">
        <v>—</v>
        <stp/>
        <stp>##V3_BDHV12</stp>
        <stp>AMZN US Equity</stp>
        <stp>IS_ABNORMAL_ITEM</stp>
        <stp>FQ1 2007</stp>
        <stp>FQ1 2007</stp>
        <stp>[FA1_j2ahgkxc.xlsx]Income - Adjusted!R18C35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2"/>
      </tp>
      <tp>
        <v>228</v>
        <stp/>
        <stp>##V3_BDHV12</stp>
        <stp>AMZN US Equity</stp>
        <stp>BS_ACCTS_REC_EXCL_NOTES_REC</stp>
        <stp>FQ1 2006</stp>
        <stp>FQ1 2006</stp>
        <stp>[FA1_j2ahgkxc.xlsx]Bal Sheet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3"/>
      </tp>
      <tp t="s">
        <v>—</v>
        <stp/>
        <stp>##V3_BDHV12</stp>
        <stp>AMZN US Equity</stp>
        <stp>BS_ACCTS_REC_EXCL_NOTES_REC</stp>
        <stp>FQ3 2002</stp>
        <stp>FQ3 2002</stp>
        <stp>[FA1_j2ahgkxc.xlsx]Bal Sheet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3"/>
      </tp>
      <tp>
        <v>0</v>
        <stp/>
        <stp>##V3_BDHV12</stp>
        <stp>AMZN US Equity</stp>
        <stp>BS_AMT_OF_TSY_STOCK</stp>
        <stp>FQ4 2004</stp>
        <stp>FQ4 2004</stp>
        <stp>[FA1_j2ahgkxc.xlsx]Bal Sheet - Standardized!R49C26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9" s="3"/>
      </tp>
      <tp>
        <v>581</v>
        <stp/>
        <stp>##V3_BDHV12</stp>
        <stp>AMZN US Equity</stp>
        <stp>BS_ACCTS_REC_EXCL_NOTES_REC</stp>
        <stp>FQ1 2008</stp>
        <stp>FQ1 2008</stp>
        <stp>[FA1_j2ahgkxc.xlsx]Bal Sheet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3"/>
      </tp>
      <tp t="s">
        <v>—</v>
        <stp/>
        <stp>##V3_BDHV12</stp>
        <stp>AMZN US Equity</stp>
        <stp>BS_ACCTS_REC_EXCL_NOTES_REC</stp>
        <stp>FQ3 2001</stp>
        <stp>FQ3 2001</stp>
        <stp>[FA1_j2ahgkxc.xlsx]Bal Sheet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3"/>
      </tp>
      <tp>
        <v>0</v>
        <stp/>
        <stp>##V3_BDHV12</stp>
        <stp>AMZN US Equity</stp>
        <stp>BS_AMT_OF_TSY_STOCK</stp>
        <stp>FQ4 2003</stp>
        <stp>FQ4 2003</stp>
        <stp>[FA1_j2ahgkxc.xlsx]Bal Sheet - Standardized!R49C22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9" s="3"/>
      </tp>
      <tp>
        <v>358</v>
        <stp/>
        <stp>##V3_BDHV12</stp>
        <stp>AMZN US Equity</stp>
        <stp>BS_ACCTS_REC_EXCL_NOTES_REC</stp>
        <stp>FQ1 2007</stp>
        <stp>FQ1 2007</stp>
        <stp>[FA1_j2ahgkxc.xlsx]Bal Sheet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3"/>
      </tp>
      <tp>
        <v>0</v>
        <stp/>
        <stp>##V3_BDHV12</stp>
        <stp>AMZN US Equity</stp>
        <stp>IS_FOREIGN_EXCH_LOSS</stp>
        <stp>FQ4 1998</stp>
        <stp>FQ4 1998</stp>
        <stp>[FA1_j2ahgkxc.xlsx]Income - Adjusted!R16C3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2"/>
      </tp>
      <tp>
        <v>500</v>
        <stp/>
        <stp>##V3_BDHV12</stp>
        <stp>AMZN US Equity</stp>
        <stp>BS_AMT_OF_TSY_STOCK</stp>
        <stp>FQ2 2008</stp>
        <stp>FQ2 2008</stp>
        <stp>[FA1_j2ahgkxc.xlsx]Bal Sheet - Standardized!R49C40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9" s="3"/>
      </tp>
      <tp t="s">
        <v>—</v>
        <stp/>
        <stp>##V3_BDHV12</stp>
        <stp>AMZN US Equity</stp>
        <stp>BS_OPTIONS_GRANTED</stp>
        <stp>FQ1 2000</stp>
        <stp>FQ1 2000</stp>
        <stp>[FA1_j2ahgkxc.xlsx]Bal Sheet - Standardized!R63C8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3" s="3"/>
      </tp>
      <tp>
        <v>151.51400000000001</v>
        <stp/>
        <stp>##V3_BDHV12</stp>
        <stp>AMZN US Equity</stp>
        <stp>BS_INVENTORIES</stp>
        <stp>FQ3 2002</stp>
        <stp>FQ3 2002</stp>
        <stp>[FA1_j2ahgkxc.xlsx]Bal Sheet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3"/>
      </tp>
      <tp>
        <v>538</v>
        <stp/>
        <stp>##V3_BDHV12</stp>
        <stp>AMZN US Equity</stp>
        <stp>BS_INVENTORIES</stp>
        <stp>FQ1 2006</stp>
        <stp>FQ1 2006</stp>
        <stp>[FA1_j2ahgkxc.xlsx]Bal Sheet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3"/>
      </tp>
      <tp>
        <v>130.739</v>
        <stp/>
        <stp>##V3_BDHV12</stp>
        <stp>AMZN US Equity</stp>
        <stp>BS_INVENTORIES</stp>
        <stp>FQ3 2001</stp>
        <stp>FQ3 2001</stp>
        <stp>[FA1_j2ahgkxc.xlsx]Bal Sheet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3"/>
      </tp>
      <tp>
        <v>1077</v>
        <stp/>
        <stp>##V3_BDHV12</stp>
        <stp>AMZN US Equity</stp>
        <stp>BS_INVENTORIES</stp>
        <stp>FQ1 2008</stp>
        <stp>FQ1 2008</stp>
        <stp>[FA1_j2ahgkxc.xlsx]Bal Sheet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3"/>
      </tp>
      <tp>
        <v>754</v>
        <stp/>
        <stp>##V3_BDHV12</stp>
        <stp>AMZN US Equity</stp>
        <stp>BS_INVENTORIES</stp>
        <stp>FQ1 2007</stp>
        <stp>FQ1 2007</stp>
        <stp>[FA1_j2ahgkxc.xlsx]Bal Sheet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3"/>
      </tp>
      <tp>
        <v>752</v>
        <stp/>
        <stp>##V3_BDHV12</stp>
        <stp>AMZN US Equity</stp>
        <stp>BS_FUTURE_MIN_OPER_LEASE_OBLIG</stp>
        <stp>FQ3 2008</stp>
        <stp>FQ3 2008</stp>
        <stp>[FA1_j2ahgkxc.xlsx]Bal Sheet - Standardized!R61C41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1" s="3"/>
      </tp>
      <tp>
        <v>650</v>
        <stp/>
        <stp>##V3_BDHV12</stp>
        <stp>AMZN US Equity</stp>
        <stp>BS_FUTURE_MIN_OPER_LEASE_OBLIG</stp>
        <stp>FQ4 2007</stp>
        <stp>FQ4 2007</stp>
        <stp>[FA1_j2ahgkxc.xlsx]Bal Sheet - Standardized!R61C38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1" s="3"/>
      </tp>
      <tp>
        <v>639</v>
        <stp/>
        <stp>##V3_BDHV12</stp>
        <stp>AMZN US Equity</stp>
        <stp>BS_FUTURE_MIN_OPER_LEASE_OBLIG</stp>
        <stp>FQ4 2006</stp>
        <stp>FQ4 2006</stp>
        <stp>[FA1_j2ahgkxc.xlsx]Bal Sheet - Standardized!R61C34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1" s="3"/>
      </tp>
      <tp>
        <v>595</v>
        <stp/>
        <stp>##V3_BDHV12</stp>
        <stp>AMZN US Equity</stp>
        <stp>BS_FUTURE_MIN_OPER_LEASE_OBLIG</stp>
        <stp>FQ4 2005</stp>
        <stp>FQ4 2005</stp>
        <stp>[FA1_j2ahgkxc.xlsx]Bal Sheet - Standardized!R61C30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1" s="3"/>
      </tp>
      <tp>
        <v>367.447</v>
        <stp/>
        <stp>##V3_BDHV12</stp>
        <stp>AMZN US Equity</stp>
        <stp>BS_OTHER_ASSETS_DEF_CHRG_OTHER</stp>
        <stp>FQ4 2000</stp>
        <stp>FQ4 2000</stp>
        <stp>[FA1_j2ahgkxc.xlsx]Bal Sheet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139.904</v>
        <stp/>
        <stp>##V3_BDHV12</stp>
        <stp>AMZN US Equity</stp>
        <stp>BS_OTHER_ASSETS_DEF_CHRG_OTHER</stp>
        <stp>FQ4 2001</stp>
        <stp>FQ4 2001</stp>
        <stp>[FA1_j2ahgkxc.xlsx]Bal Sheet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3"/>
      </tp>
      <tp>
        <v>120.369</v>
        <stp/>
        <stp>##V3_BDHV12</stp>
        <stp>AMZN US Equity</stp>
        <stp>BS_OTHER_ASSETS_DEF_CHRG_OTHER</stp>
        <stp>FQ4 2002</stp>
        <stp>FQ4 2002</stp>
        <stp>[FA1_j2ahgkxc.xlsx]Bal Sheet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3"/>
      </tp>
      <tp>
        <v>3.4275000000000002</v>
        <stp/>
        <stp>##V3_BDHV12</stp>
        <stp>AMZN US Equity</stp>
        <stp>CASH_ST_INVESTMENTS_PER_SH</stp>
        <stp>FQ3 2005</stp>
        <stp>FQ3 2005</stp>
        <stp>[FA1_j2ahgkxc.xlsx]Per Share!R25C29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5" s="5"/>
      </tp>
      <tp>
        <v>-0.42870000000000003</v>
        <stp/>
        <stp>##V3_BDHV12</stp>
        <stp>AMZN US Equity</stp>
        <stp>OPER_INC_PER_SH</stp>
        <stp>FQ3 2000</stp>
        <stp>FQ3 2000</stp>
        <stp>[FA1_j2ahgkxc.xlsx]Per Share!R13C9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3" s="5"/>
      </tp>
      <tp>
        <v>-0.5696</v>
        <stp/>
        <stp>##V3_BDHV12</stp>
        <stp>AMZN US Equity</stp>
        <stp>OPER_INC_PER_SH</stp>
        <stp>FQ1 2000</stp>
        <stp>FQ1 2000</stp>
        <stp>[FA1_j2ahgkxc.xlsx]Per Share!R13C8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3" s="5"/>
      </tp>
      <tp t="s">
        <v>—</v>
        <stp/>
        <stp>##V3_BDHV12</stp>
        <stp>AMZN US Equity</stp>
        <stp>IS_IMPAIRMENT_GOODWILL_INTANGIBL</stp>
        <stp>FQ1 2001</stp>
        <stp>FQ1 2001</stp>
        <stp>[FA1_j2ahgkxc.xlsx]Income - Adjusted!R19C11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2"/>
      </tp>
      <tp>
        <v>-138.00800000000001</v>
        <stp/>
        <stp>##V3_BDHV12</stp>
        <stp>AMZN US Equity</stp>
        <stp>PRETAX_INC</stp>
        <stp>FQ2 1999</stp>
        <stp>FQ2 1999</stp>
        <stp>[FA1_j2ahgkxc.xlsx]Income - Adjusted!R17C5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7" s="2"/>
      </tp>
      <tp>
        <v>0</v>
        <stp/>
        <stp>##V3_BDHV12</stp>
        <stp>AMZN US Equity</stp>
        <stp>IS_IMPAIRMENT_GOODWILL_INTANGIBL</stp>
        <stp>FQ4 2006</stp>
        <stp>FQ4 2006</stp>
        <stp>[FA1_j2ahgkxc.xlsx]Income - Adjusted!R19C34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2"/>
      </tp>
      <tp>
        <v>0.63549999999999995</v>
        <stp/>
        <stp>##V3_BDHV12</stp>
        <stp>AMZN US Equity</stp>
        <stp>OPER_INC_PER_SH</stp>
        <stp>FQ4 2008</stp>
        <stp>FQ4 2008</stp>
        <stp>[FA1_j2ahgkxc.xlsx]Per Share!R13C42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3" s="5"/>
      </tp>
      <tp>
        <v>0.39760000000000001</v>
        <stp/>
        <stp>##V3_BDHV12</stp>
        <stp>AMZN US Equity</stp>
        <stp>OPER_INC_PER_SH</stp>
        <stp>FQ4 2005</stp>
        <stp>FQ4 2005</stp>
        <stp>[FA1_j2ahgkxc.xlsx]Per Share!R13C30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3" s="5"/>
      </tp>
      <tp>
        <v>0.41539999999999999</v>
        <stp/>
        <stp>##V3_BDHV12</stp>
        <stp>AMZN US Equity</stp>
        <stp>OPER_INC_PER_SH</stp>
        <stp>FQ4 2004</stp>
        <stp>FQ4 2004</stp>
        <stp>[FA1_j2ahgkxc.xlsx]Per Share!R13C26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3" s="5"/>
      </tp>
      <tp>
        <v>0.47120000000000001</v>
        <stp/>
        <stp>##V3_BDHV12</stp>
        <stp>AMZN US Equity</stp>
        <stp>OPER_INC_PER_SH</stp>
        <stp>FQ4 2006</stp>
        <stp>FQ4 2006</stp>
        <stp>[FA1_j2ahgkxc.xlsx]Per Share!R13C34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3" s="5"/>
      </tp>
      <tp>
        <v>0.65139999999999998</v>
        <stp/>
        <stp>##V3_BDHV12</stp>
        <stp>AMZN US Equity</stp>
        <stp>OPER_INC_PER_SH</stp>
        <stp>FQ4 2007</stp>
        <stp>FQ4 2007</stp>
        <stp>[FA1_j2ahgkxc.xlsx]Per Share!R13C38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3" s="5"/>
      </tp>
      <tp>
        <v>0.1704</v>
        <stp/>
        <stp>##V3_BDHV12</stp>
        <stp>AMZN US Equity</stp>
        <stp>OPER_INC_PER_SH</stp>
        <stp>FQ4 2002</stp>
        <stp>FQ4 2002</stp>
        <stp>[FA1_j2ahgkxc.xlsx]Per Share!R13C18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3" s="5"/>
      </tp>
      <tp>
        <v>-0.3881</v>
        <stp/>
        <stp>##V3_BDHV12</stp>
        <stp>AMZN US Equity</stp>
        <stp>OPER_INC_PER_SH</stp>
        <stp>FQ4 2000</stp>
        <stp>FQ4 2000</stp>
        <stp>[FA1_j2ahgkxc.xlsx]Per Share!R13C10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3" s="5"/>
      </tp>
      <tp>
        <v>0.34320000000000001</v>
        <stp/>
        <stp>##V3_BDHV12</stp>
        <stp>AMZN US Equity</stp>
        <stp>OPER_INC_PER_SH</stp>
        <stp>FQ4 2003</stp>
        <stp>FQ4 2003</stp>
        <stp>[FA1_j2ahgkxc.xlsx]Per Share!R13C22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3" s="5"/>
      </tp>
      <tp>
        <v>5.8599999999999999E-2</v>
        <stp/>
        <stp>##V3_BDHV12</stp>
        <stp>AMZN US Equity</stp>
        <stp>OPER_INC_PER_SH</stp>
        <stp>FQ4 2001</stp>
        <stp>FQ4 2001</stp>
        <stp>[FA1_j2ahgkxc.xlsx]Per Share!R13C14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3" s="5"/>
      </tp>
      <tp t="s">
        <v>—</v>
        <stp/>
        <stp>##V3_BDHV12</stp>
        <stp>AMZN US Equity</stp>
        <stp>IS_IMPAIRMENT_GOODWILL_INTANGIBL</stp>
        <stp>FQ2 2002</stp>
        <stp>FQ2 2002</stp>
        <stp>[FA1_j2ahgkxc.xlsx]Income - Adjusted!R19C16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2"/>
      </tp>
      <tp>
        <v>0.51670000000000005</v>
        <stp/>
        <stp>##V3_BDHV12</stp>
        <stp>AMZN US Equity</stp>
        <stp>OPER_INC_PER_SH</stp>
        <stp>FQ2 2008</stp>
        <stp>FQ2 2008</stp>
        <stp>[FA1_j2ahgkxc.xlsx]Per Share!R13C40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3" s="5"/>
      </tp>
      <tp>
        <v>0.1062</v>
        <stp/>
        <stp>##V3_BDHV12</stp>
        <stp>AMZN US Equity</stp>
        <stp>OPER_INC_PER_SH</stp>
        <stp>FQ2 2003</stp>
        <stp>FQ2 2003</stp>
        <stp>[FA1_j2ahgkxc.xlsx]Per Share!R13C20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3" s="5"/>
      </tp>
      <tp>
        <v>-0.22570000000000001</v>
        <stp/>
        <stp>##V3_BDHV12</stp>
        <stp>AMZN US Equity</stp>
        <stp>OPER_INC_PER_SH</stp>
        <stp>FQ2 2001</stp>
        <stp>FQ2 2001</stp>
        <stp>[FA1_j2ahgkxc.xlsx]Per Share!R13C12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3" s="5"/>
      </tp>
      <tp>
        <v>3.8999999999999998E-3</v>
        <stp/>
        <stp>##V3_BDHV12</stp>
        <stp>AMZN US Equity</stp>
        <stp>OPER_INC_PER_SH</stp>
        <stp>FQ2 2002</stp>
        <stp>FQ2 2002</stp>
        <stp>[FA1_j2ahgkxc.xlsx]Per Share!R13C16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3" s="5"/>
      </tp>
      <tp>
        <v>0.1124</v>
        <stp/>
        <stp>##V3_BDHV12</stp>
        <stp>AMZN US Equity</stp>
        <stp>OPER_INC_PER_SH</stp>
        <stp>FQ2 2006</stp>
        <stp>FQ2 2006</stp>
        <stp>[FA1_j2ahgkxc.xlsx]Per Share!R13C32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3" s="5"/>
      </tp>
      <tp>
        <v>0.28160000000000002</v>
        <stp/>
        <stp>##V3_BDHV12</stp>
        <stp>AMZN US Equity</stp>
        <stp>OPER_INC_PER_SH</stp>
        <stp>FQ2 2007</stp>
        <stp>FQ2 2007</stp>
        <stp>[FA1_j2ahgkxc.xlsx]Per Share!R13C36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3" s="5"/>
      </tp>
      <tp>
        <v>0.253</v>
        <stp/>
        <stp>##V3_BDHV12</stp>
        <stp>AMZN US Equity</stp>
        <stp>OPER_INC_PER_SH</stp>
        <stp>FQ2 2005</stp>
        <stp>FQ2 2005</stp>
        <stp>[FA1_j2ahgkxc.xlsx]Per Share!R13C28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3" s="5"/>
      </tp>
      <tp>
        <v>0.19520000000000001</v>
        <stp/>
        <stp>##V3_BDHV12</stp>
        <stp>AMZN US Equity</stp>
        <stp>OPER_INC_PER_SH</stp>
        <stp>FQ2 2004</stp>
        <stp>FQ2 2004</stp>
        <stp>[FA1_j2ahgkxc.xlsx]Per Share!R13C24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3" s="5"/>
      </tp>
      <tp>
        <v>0.36070000000000002</v>
        <stp/>
        <stp>##V3_BDHV12</stp>
        <stp>AMZN US Equity</stp>
        <stp>OPER_INC_PER_SH</stp>
        <stp>FQ3 2008</stp>
        <stp>FQ3 2008</stp>
        <stp>[FA1_j2ahgkxc.xlsx]Per Share!R13C41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3" s="5"/>
      </tp>
      <tp>
        <v>-0.1802</v>
        <stp/>
        <stp>##V3_BDHV12</stp>
        <stp>AMZN US Equity</stp>
        <stp>OPER_INC_PER_SH</stp>
        <stp>FQ3 2001</stp>
        <stp>FQ3 2001</stp>
        <stp>[FA1_j2ahgkxc.xlsx]Per Share!R13C13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3" s="5"/>
      </tp>
      <tp>
        <v>0.1305</v>
        <stp/>
        <stp>##V3_BDHV12</stp>
        <stp>AMZN US Equity</stp>
        <stp>OPER_INC_PER_SH</stp>
        <stp>FQ3 2003</stp>
        <stp>FQ3 2003</stp>
        <stp>[FA1_j2ahgkxc.xlsx]Per Share!R13C21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3" s="5"/>
      </tp>
      <tp>
        <v>7.1400000000000005E-2</v>
        <stp/>
        <stp>##V3_BDHV12</stp>
        <stp>AMZN US Equity</stp>
        <stp>OPER_INC_PER_SH</stp>
        <stp>FQ3 2002</stp>
        <stp>FQ3 2002</stp>
        <stp>[FA1_j2ahgkxc.xlsx]Per Share!R13C17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3" s="5"/>
      </tp>
      <tp>
        <v>0.29709999999999998</v>
        <stp/>
        <stp>##V3_BDHV12</stp>
        <stp>AMZN US Equity</stp>
        <stp>OPER_INC_PER_SH</stp>
        <stp>FQ3 2007</stp>
        <stp>FQ3 2007</stp>
        <stp>[FA1_j2ahgkxc.xlsx]Per Share!R13C37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3" s="5"/>
      </tp>
      <tp>
        <v>9.5899999999999999E-2</v>
        <stp/>
        <stp>##V3_BDHV12</stp>
        <stp>AMZN US Equity</stp>
        <stp>OPER_INC_PER_SH</stp>
        <stp>FQ3 2006</stp>
        <stp>FQ3 2006</stp>
        <stp>[FA1_j2ahgkxc.xlsx]Per Share!R13C33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3" s="5"/>
      </tp>
      <tp>
        <v>0.19989999999999999</v>
        <stp/>
        <stp>##V3_BDHV12</stp>
        <stp>AMZN US Equity</stp>
        <stp>OPER_INC_PER_SH</stp>
        <stp>FQ3 2004</stp>
        <stp>FQ3 2004</stp>
        <stp>[FA1_j2ahgkxc.xlsx]Per Share!R13C25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3" s="5"/>
      </tp>
      <tp>
        <v>0.13320000000000001</v>
        <stp/>
        <stp>##V3_BDHV12</stp>
        <stp>AMZN US Equity</stp>
        <stp>OPER_INC_PER_SH</stp>
        <stp>FQ3 2005</stp>
        <stp>FQ3 2005</stp>
        <stp>[FA1_j2ahgkxc.xlsx]Per Share!R13C29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3" s="5"/>
      </tp>
      <tp>
        <v>0.4748</v>
        <stp/>
        <stp>##V3_BDHV12</stp>
        <stp>AMZN US Equity</stp>
        <stp>OPER_INC_PER_SH</stp>
        <stp>FQ1 2008</stp>
        <stp>FQ1 2008</stp>
        <stp>[FA1_j2ahgkxc.xlsx]Per Share!R13C39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3" s="5"/>
      </tp>
      <tp>
        <v>0.10100000000000001</v>
        <stp/>
        <stp>##V3_BDHV12</stp>
        <stp>AMZN US Equity</stp>
        <stp>OPER_INC_PER_SH</stp>
        <stp>FQ1 2003</stp>
        <stp>FQ1 2003</stp>
        <stp>[FA1_j2ahgkxc.xlsx]Per Share!R13C19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3" s="5"/>
      </tp>
      <tp>
        <v>3.15E-2</v>
        <stp/>
        <stp>##V3_BDHV12</stp>
        <stp>AMZN US Equity</stp>
        <stp>OPER_INC_PER_SH</stp>
        <stp>FQ1 2002</stp>
        <stp>FQ1 2002</stp>
        <stp>[FA1_j2ahgkxc.xlsx]Per Share!R13C15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3" s="5"/>
      </tp>
      <tp>
        <v>-0.2863</v>
        <stp/>
        <stp>##V3_BDHV12</stp>
        <stp>AMZN US Equity</stp>
        <stp>OPER_INC_PER_SH</stp>
        <stp>FQ1 2001</stp>
        <stp>FQ1 2001</stp>
        <stp>[FA1_j2ahgkxc.xlsx]Per Share!R13C11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3" s="5"/>
      </tp>
      <tp>
        <v>0.2737</v>
        <stp/>
        <stp>##V3_BDHV12</stp>
        <stp>AMZN US Equity</stp>
        <stp>OPER_INC_PER_SH</stp>
        <stp>FQ1 2004</stp>
        <stp>FQ1 2004</stp>
        <stp>[FA1_j2ahgkxc.xlsx]Per Share!R13C23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3" s="5"/>
      </tp>
      <tp>
        <v>0.26340000000000002</v>
        <stp/>
        <stp>##V3_BDHV12</stp>
        <stp>AMZN US Equity</stp>
        <stp>OPER_INC_PER_SH</stp>
        <stp>FQ1 2005</stp>
        <stp>FQ1 2005</stp>
        <stp>[FA1_j2ahgkxc.xlsx]Per Share!R13C27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3" s="5"/>
      </tp>
      <tp>
        <v>0.35189999999999999</v>
        <stp/>
        <stp>##V3_BDHV12</stp>
        <stp>AMZN US Equity</stp>
        <stp>OPER_INC_PER_SH</stp>
        <stp>FQ1 2007</stp>
        <stp>FQ1 2007</stp>
        <stp>[FA1_j2ahgkxc.xlsx]Per Share!R13C35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3" s="5"/>
      </tp>
      <tp>
        <v>0.25419999999999998</v>
        <stp/>
        <stp>##V3_BDHV12</stp>
        <stp>AMZN US Equity</stp>
        <stp>OPER_INC_PER_SH</stp>
        <stp>FQ1 2006</stp>
        <stp>FQ1 2006</stp>
        <stp>[FA1_j2ahgkxc.xlsx]Per Share!R13C31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3" s="5"/>
      </tp>
      <tp t="s">
        <v>—</v>
        <stp/>
        <stp>##V3_BDHV12</stp>
        <stp>AMZN US Equity</stp>
        <stp>IS_ABNORMAL_ITEM</stp>
        <stp>FQ3 2006</stp>
        <stp>FQ3 2006</stp>
        <stp>[FA1_j2ahgkxc.xlsx]Income - Adjusted!R18C33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2"/>
      </tp>
      <tp t="s">
        <v>—</v>
        <stp/>
        <stp>##V3_BDHV12</stp>
        <stp>AMZN US Equity</stp>
        <stp>IS_ABNORMAL_ITEM</stp>
        <stp>FQ2 2007</stp>
        <stp>FQ2 2007</stp>
        <stp>[FA1_j2ahgkxc.xlsx]Income - Adjusted!R18C36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2"/>
      </tp>
      <tp t="s">
        <v>—</v>
        <stp/>
        <stp>##V3_BDHV12</stp>
        <stp>AMZN US Equity</stp>
        <stp>IS_ABNORMAL_ITEM</stp>
        <stp>FQ1 2005</stp>
        <stp>FQ1 2005</stp>
        <stp>[FA1_j2ahgkxc.xlsx]Income - Adjusted!R18C27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2"/>
      </tp>
      <tp>
        <v>225</v>
        <stp/>
        <stp>##V3_BDHV12</stp>
        <stp>AMZN US Equity</stp>
        <stp>BS_ACCTS_REC_EXCL_NOTES_REC</stp>
        <stp>FQ2 2006</stp>
        <stp>FQ2 2006</stp>
        <stp>[FA1_j2ahgkxc.xlsx]Bal Sheet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3"/>
      </tp>
      <tp>
        <v>0</v>
        <stp/>
        <stp>##V3_BDHV12</stp>
        <stp>AMZN US Equity</stp>
        <stp>BS_AMT_OF_TSY_STOCK</stp>
        <stp>FQ4 2001</stp>
        <stp>FQ4 2001</stp>
        <stp>[FA1_j2ahgkxc.xlsx]Bal Sheet - Standardized!R49C14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9" s="3"/>
      </tp>
      <tp t="s">
        <v>—</v>
        <stp/>
        <stp>##V3_BDHV12</stp>
        <stp>AMZN US Equity</stp>
        <stp>BS_ACCTS_REC_EXCL_NOTES_REC</stp>
        <stp>FQ3 2003</stp>
        <stp>FQ3 2003</stp>
        <stp>[FA1_j2ahgkxc.xlsx]Bal Sheet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3"/>
      </tp>
      <tp>
        <v>0</v>
        <stp/>
        <stp>##V3_BDHV12</stp>
        <stp>AMZN US Equity</stp>
        <stp>BS_AMT_OF_TSY_STOCK</stp>
        <stp>FQ4 2000</stp>
        <stp>FQ4 2000</stp>
        <stp>[FA1_j2ahgkxc.xlsx]Bal Sheet - Standardized!R49C10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9" s="3"/>
      </tp>
      <tp>
        <v>150.76400000000001</v>
        <stp/>
        <stp>##V3_BDHV12</stp>
        <stp>AMZN US Equity</stp>
        <stp>BS_ACCTS_REC_EXCL_NOTES_REC</stp>
        <stp>FQ3 2004</stp>
        <stp>FQ3 2004</stp>
        <stp>[FA1_j2ahgkxc.xlsx]Bal Sheet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3"/>
      </tp>
      <tp>
        <v>0</v>
        <stp/>
        <stp>##V3_BDHV12</stp>
        <stp>AMZN US Equity</stp>
        <stp>IS_FOREIGN_EXCH_LOSS</stp>
        <stp>FQ1 1999</stp>
        <stp>FQ1 1999</stp>
        <stp>[FA1_j2ahgkxc.xlsx]Income - Adjusted!R16C4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2"/>
      </tp>
      <tp>
        <v>0</v>
        <stp/>
        <stp>##V3_BDHV12</stp>
        <stp>AMZN US Equity</stp>
        <stp>IS_FOREIGN_EXCH_LOSS</stp>
        <stp>FQ3 1999</stp>
        <stp>FQ3 1999</stp>
        <stp>[FA1_j2ahgkxc.xlsx]Income - Adjusted!R16C6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2"/>
      </tp>
      <tp>
        <v>384</v>
        <stp/>
        <stp>##V3_BDHV12</stp>
        <stp>AMZN US Equity</stp>
        <stp>BS_ACCTS_REC_EXCL_NOTES_REC</stp>
        <stp>FQ2 2007</stp>
        <stp>FQ2 2007</stp>
        <stp>[FA1_j2ahgkxc.xlsx]Bal Sheet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3"/>
      </tp>
      <tp>
        <v>1170</v>
        <stp/>
        <stp>##V3_BDHV12</stp>
        <stp>AMZN US Equity</stp>
        <stp>GROSS_PROFIT</stp>
        <stp>FQ4 2007</stp>
        <stp>FQ4 2007</stp>
        <stp>[FA1_j2ahgkxc.xlsx]Income - Adjusted!R8C38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8" s="2"/>
      </tp>
      <tp>
        <v>188</v>
        <stp/>
        <stp>##V3_BDHV12</stp>
        <stp>AMZN US Equity</stp>
        <stp>BS_ACCTS_REC_EXCL_NOTES_REC</stp>
        <stp>FQ3 2005</stp>
        <stp>FQ3 2005</stp>
        <stp>[FA1_j2ahgkxc.xlsx]Bal Sheet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3"/>
      </tp>
      <tp>
        <v>0</v>
        <stp/>
        <stp>##V3_BDHV12</stp>
        <stp>AMZN US Equity</stp>
        <stp>BS_AMT_OF_TSY_STOCK</stp>
        <stp>FQ4 2002</stp>
        <stp>FQ4 2002</stp>
        <stp>[FA1_j2ahgkxc.xlsx]Bal Sheet - Standardized!R49C18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9" s="3"/>
      </tp>
      <tp>
        <v>270.58199999999999</v>
        <stp/>
        <stp>##V3_BDHV12</stp>
        <stp>AMZN US Equity</stp>
        <stp>GROSS_PROFIT</stp>
        <stp>FQ1 2003</stp>
        <stp>FQ1 2003</stp>
        <stp>[FA1_j2ahgkxc.xlsx]Income - Adjusted!R8C19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 t="s">
        <v>—</v>
        <stp/>
        <stp>##V3_BDHV12</stp>
        <stp>AMZN US Equity</stp>
        <stp>BS_OPTIONS_GRANTED</stp>
        <stp>FQ3 2000</stp>
        <stp>FQ3 2000</stp>
        <stp>[FA1_j2ahgkxc.xlsx]Bal Sheet - Standardized!R63C9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3" s="3"/>
      </tp>
      <tp>
        <v>126.794</v>
        <stp/>
        <stp>##V3_BDHV12</stp>
        <stp>AMZN US Equity</stp>
        <stp>BS_INVENTORIES</stp>
        <stp>FQ2 2002</stp>
        <stp>FQ2 2002</stp>
        <stp>[FA1_j2ahgkxc.xlsx]Bal Sheet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3"/>
      </tp>
      <tp>
        <v>281.55</v>
        <stp/>
        <stp>##V3_BDHV12</stp>
        <stp>AMZN US Equity</stp>
        <stp>BS_INVENTORIES</stp>
        <stp>FQ1 2004</stp>
        <stp>FQ1 2004</stp>
        <stp>[FA1_j2ahgkxc.xlsx]Bal Sheet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3"/>
      </tp>
      <tp>
        <v>129.035</v>
        <stp/>
        <stp>##V3_BDHV12</stp>
        <stp>AMZN US Equity</stp>
        <stp>BS_INVENTORIES</stp>
        <stp>FQ2 2001</stp>
        <stp>FQ2 2001</stp>
        <stp>[FA1_j2ahgkxc.xlsx]Bal Sheet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3"/>
      </tp>
      <tp>
        <v>403</v>
        <stp/>
        <stp>##V3_BDHV12</stp>
        <stp>AMZN US Equity</stp>
        <stp>BS_INVENTORIES</stp>
        <stp>FQ1 2005</stp>
        <stp>FQ1 2005</stp>
        <stp>[FA1_j2ahgkxc.xlsx]Bal Sheet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3"/>
      </tp>
      <tp>
        <v>736</v>
        <stp/>
        <stp>##V3_BDHV12</stp>
        <stp>AMZN US Equity</stp>
        <stp>BS_FUTURE_MIN_OPER_LEASE_OBLIG</stp>
        <stp>FQ2 2008</stp>
        <stp>FQ2 2008</stp>
        <stp>[FA1_j2ahgkxc.xlsx]Bal Sheet - Standardized!R61C40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1" s="3"/>
      </tp>
      <tp t="s">
        <v>—</v>
        <stp/>
        <stp>##V3_BDHV12</stp>
        <stp>AMZN US Equity</stp>
        <stp>BS_FUTURE_MIN_OPER_LEASE_OBLIG</stp>
        <stp>FQ4 2003</stp>
        <stp>FQ4 2003</stp>
        <stp>[FA1_j2ahgkxc.xlsx]Bal Sheet - Standardized!R61C22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1" s="3"/>
      </tp>
      <tp t="s">
        <v>—</v>
        <stp/>
        <stp>##V3_BDHV12</stp>
        <stp>AMZN US Equity</stp>
        <stp>BS_FUTURE_MIN_OPER_LEASE_OBLIG</stp>
        <stp>FQ4 2004</stp>
        <stp>FQ4 2004</stp>
        <stp>[FA1_j2ahgkxc.xlsx]Bal Sheet - Standardized!R61C26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1" s="3"/>
      </tp>
      <tp>
        <v>28</v>
        <stp/>
        <stp>##V3_BDHV12</stp>
        <stp>AMZN US Equity</stp>
        <stp>IS_INT_INC</stp>
        <stp>FQ4 2007</stp>
        <stp>FQ4 2007</stp>
        <stp>[FA1_j2ahgkxc.xlsx]Income - Adjusted!R15C38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5" s="2"/>
      </tp>
      <tp>
        <v>1735.4471000000001</v>
        <stp/>
        <stp>##V3_BDHV12</stp>
        <stp>AMZN US Equity</stp>
        <stp>BS_TOT_LIAB2</stp>
        <stp>FQ1 1999</stp>
        <stp>FQ1 1999</stp>
        <stp>[FA1_j2ahgkxc.xlsx]Bal Sheet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3"/>
      </tp>
      <tp>
        <v>1819.874</v>
        <stp/>
        <stp>##V3_BDHV12</stp>
        <stp>AMZN US Equity</stp>
        <stp>BS_TOT_LIAB2</stp>
        <stp>FQ3 1999</stp>
        <stp>FQ3 1999</stp>
        <stp>[FA1_j2ahgkxc.xlsx]Bal Sheet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3"/>
      </tp>
      <tp>
        <v>1727.1679999999999</v>
        <stp/>
        <stp>##V3_BDHV12</stp>
        <stp>AMZN US Equity</stp>
        <stp>BS_TOT_LIAB2</stp>
        <stp>FQ2 1999</stp>
        <stp>FQ2 1999</stp>
        <stp>[FA1_j2ahgkxc.xlsx]Bal Sheet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3"/>
      </tp>
      <tp>
        <v>509.71499999999997</v>
        <stp/>
        <stp>##V3_BDHV12</stp>
        <stp>AMZN US Equity</stp>
        <stp>BS_TOT_LIAB2</stp>
        <stp>FQ4 1998</stp>
        <stp>FQ4 1998</stp>
        <stp>[FA1_j2ahgkxc.xlsx]Bal Sheet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3"/>
      </tp>
      <tp>
        <v>3.2160000000000002</v>
        <stp/>
        <stp>##V3_BDHV12</stp>
        <stp>AMZN US Equity</stp>
        <stp>CASH_ST_INVESTMENTS_PER_SH</stp>
        <stp>FQ2 2005</stp>
        <stp>FQ2 2005</stp>
        <stp>[FA1_j2ahgkxc.xlsx]Per Share!R25C28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5" s="5"/>
      </tp>
      <tp>
        <v>2205.2730000000001</v>
        <stp/>
        <stp>##V3_BDHV12</stp>
        <stp>AMZN US Equity</stp>
        <stp>BS_TOT_LIAB2</stp>
        <stp>FQ4 1999</stp>
        <stp>FQ4 1999</stp>
        <stp>[FA1_j2ahgkxc.xlsx]Bal Sheet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3"/>
      </tp>
      <tp>
        <v>-46.427</v>
        <stp/>
        <stp>##V3_BDHV12</stp>
        <stp>AMZN US Equity</stp>
        <stp>PRETAX_INC</stp>
        <stp>FQ4 1998</stp>
        <stp>FQ4 1998</stp>
        <stp>[FA1_j2ahgkxc.xlsx]Income - Adjusted!R17C3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7" s="2"/>
      </tp>
      <tp t="s">
        <v>—</v>
        <stp/>
        <stp>##V3_BDHV12</stp>
        <stp>AMZN US Equity</stp>
        <stp>IS_IMPAIRMENT_GOODWILL_INTANGIBL</stp>
        <stp>FQ3 2002</stp>
        <stp>FQ3 2002</stp>
        <stp>[FA1_j2ahgkxc.xlsx]Income - Adjusted!R19C17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2"/>
      </tp>
      <tp>
        <v>72.730999999999995</v>
        <stp/>
        <stp>##V3_BDHV12</stp>
        <stp>AMZN US Equity</stp>
        <stp>IS_ABNORMAL_ITEM</stp>
        <stp>FQ4 2002</stp>
        <stp>FQ4 2002</stp>
        <stp>[FA1_j2ahgkxc.xlsx]Income - Adjusted!R18C18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2"/>
      </tp>
      <tp t="s">
        <v>—</v>
        <stp/>
        <stp>##V3_BDHV12</stp>
        <stp>AMZN US Equity</stp>
        <stp>IS_ABNORMAL_ITEM</stp>
        <stp>FQ2 2006</stp>
        <stp>FQ2 2006</stp>
        <stp>[FA1_j2ahgkxc.xlsx]Income - Adjusted!R18C32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2"/>
      </tp>
      <tp>
        <v>-13.795</v>
        <stp/>
        <stp>##V3_BDHV12</stp>
        <stp>AMZN US Equity</stp>
        <stp>IS_ABNORMAL_ITEM</stp>
        <stp>FQ1 2004</stp>
        <stp>FQ1 2004</stp>
        <stp>[FA1_j2ahgkxc.xlsx]Income - Adjusted!R18C23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2"/>
      </tp>
      <tp t="s">
        <v>—</v>
        <stp/>
        <stp>##V3_BDHV12</stp>
        <stp>AMZN US Equity</stp>
        <stp>IS_ABNORMAL_ITEM</stp>
        <stp>FQ3 2007</stp>
        <stp>FQ3 2007</stp>
        <stp>[FA1_j2ahgkxc.xlsx]Income - Adjusted!R18C37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2"/>
      </tp>
      <tp t="s">
        <v>—</v>
        <stp/>
        <stp>##V3_BDHV12</stp>
        <stp>AMZN US Equity</stp>
        <stp>IS_IMPAIRMENT_GOODWILL_INTANGIBL</stp>
        <stp>FQ4 2007</stp>
        <stp>FQ4 2007</stp>
        <stp>[FA1_j2ahgkxc.xlsx]Income - Adjusted!R19C38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9" s="2"/>
      </tp>
      <tp>
        <v>281</v>
        <stp/>
        <stp>##V3_BDHV12</stp>
        <stp>AMZN US Equity</stp>
        <stp>BS_ACCTS_REC_EXCL_NOTES_REC</stp>
        <stp>FQ3 2006</stp>
        <stp>FQ3 2006</stp>
        <stp>[FA1_j2ahgkxc.xlsx]Bal Sheet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3"/>
      </tp>
      <tp t="s">
        <v>—</v>
        <stp/>
        <stp>##V3_BDHV12</stp>
        <stp>AMZN US Equity</stp>
        <stp>BS_ACCTS_REC_EXCL_NOTES_REC</stp>
        <stp>FQ1 2002</stp>
        <stp>FQ1 2002</stp>
        <stp>[FA1_j2ahgkxc.xlsx]Bal Sheet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3"/>
      </tp>
      <tp t="s">
        <v>—</v>
        <stp/>
        <stp>##V3_BDHV12</stp>
        <stp>AMZN US Equity</stp>
        <stp>BS_ACCTS_REC_EXCL_NOTES_REC</stp>
        <stp>FQ2 2003</stp>
        <stp>FQ2 2003</stp>
        <stp>[FA1_j2ahgkxc.xlsx]Bal Sheet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3"/>
      </tp>
      <tp t="s">
        <v>—</v>
        <stp/>
        <stp>##V3_BDHV12</stp>
        <stp>AMZN US Equity</stp>
        <stp>BS_ACCTS_REC_EXCL_NOTES_REC</stp>
        <stp>FQ1 2001</stp>
        <stp>FQ1 2001</stp>
        <stp>[FA1_j2ahgkxc.xlsx]Bal Sheet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3"/>
      </tp>
      <tp>
        <v>967</v>
        <stp/>
        <stp>##V3_BDHV12</stp>
        <stp>AMZN US Equity</stp>
        <stp>GROSS_PROFIT</stp>
        <stp>FQ2 2008</stp>
        <stp>FQ2 2008</stp>
        <stp>[FA1_j2ahgkxc.xlsx]Income - Adjusted!R8C40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8" s="2"/>
      </tp>
      <tp>
        <v>999</v>
        <stp/>
        <stp>##V3_BDHV12</stp>
        <stp>AMZN US Equity</stp>
        <stp>GROSS_PROFIT</stp>
        <stp>FQ3 2008</stp>
        <stp>FQ3 2008</stp>
        <stp>[FA1_j2ahgkxc.xlsx]Income - Adjusted!R8C41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8" s="2"/>
      </tp>
      <tp t="s">
        <v>—</v>
        <stp/>
        <stp>##V3_BDHV12</stp>
        <stp>AMZN US Equity</stp>
        <stp>BS_ACCTS_REC_EXCL_NOTES_REC</stp>
        <stp>FQ2 2004</stp>
        <stp>FQ2 2004</stp>
        <stp>[FA1_j2ahgkxc.xlsx]Bal Sheet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3"/>
      </tp>
      <tp>
        <v>474</v>
        <stp/>
        <stp>##V3_BDHV12</stp>
        <stp>AMZN US Equity</stp>
        <stp>BS_ACCTS_REC_EXCL_NOTES_REC</stp>
        <stp>FQ3 2007</stp>
        <stp>FQ3 2007</stp>
        <stp>[FA1_j2ahgkxc.xlsx]Bal Sheet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3"/>
      </tp>
      <tp>
        <v>827</v>
        <stp/>
        <stp>##V3_BDHV12</stp>
        <stp>AMZN US Equity</stp>
        <stp>BS_ACCTS_REC_EXCL_NOTES_REC</stp>
        <stp>FQ4 2008</stp>
        <stp>FQ4 2008</stp>
        <stp>[FA1_j2ahgkxc.xlsx]Bal Sheet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3"/>
      </tp>
      <tp>
        <v>155</v>
        <stp/>
        <stp>##V3_BDHV12</stp>
        <stp>AMZN US Equity</stp>
        <stp>BS_ACCTS_REC_EXCL_NOTES_REC</stp>
        <stp>FQ2 2005</stp>
        <stp>FQ2 2005</stp>
        <stp>[FA1_j2ahgkxc.xlsx]Bal Sheet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3"/>
      </tp>
      <tp t="s">
        <v>—</v>
        <stp/>
        <stp>##V3_BDHV12</stp>
        <stp>AMZN US Equity</stp>
        <stp>BS_ACCTS_REC_EXCL_NOTES_REC</stp>
        <stp>FQ1 2003</stp>
        <stp>FQ1 2003</stp>
        <stp>[FA1_j2ahgkxc.xlsx]Bal Sheet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3"/>
      </tp>
      <tp t="s">
        <v>—</v>
        <stp/>
        <stp>##V3_BDHV12</stp>
        <stp>AMZN US Equity</stp>
        <stp>CASH_FLOW_TO_NET_INC</stp>
        <stp>FQ3 2000</stp>
        <stp>FQ3 2000</stp>
        <stp>[FA1_j2ahgkxc.xlsx]Cash Flow - Standardized!R54C9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4" s="4"/>
      </tp>
      <tp t="s">
        <v>—</v>
        <stp/>
        <stp>##V3_BDHV12</stp>
        <stp>AMZN US Equity</stp>
        <stp>CASH_FLOW_TO_NET_INC</stp>
        <stp>FQ3 1999</stp>
        <stp>FQ3 1999</stp>
        <stp>[FA1_j2ahgkxc.xlsx]Cash Flow - Standardized!R54C5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4" s="4"/>
      </tp>
      <tp>
        <v>-50</v>
        <stp/>
        <stp>##V3_BDHV12</stp>
        <stp>AMZN US Equity</stp>
        <stp>CHG_IN_FXD_&amp;_INTANG_AST_DETAILED</stp>
        <stp>FQ4 2006</stp>
        <stp>FQ4 2006</stp>
        <stp>[FA1_j2ahgkxc.xlsx]Cash Flow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4"/>
      </tp>
      <tp>
        <v>-56</v>
        <stp/>
        <stp>##V3_BDHV12</stp>
        <stp>AMZN US Equity</stp>
        <stp>CHG_IN_FXD_&amp;_INTANG_AST_DETAILED</stp>
        <stp>FQ4 2005</stp>
        <stp>FQ4 2005</stp>
        <stp>[FA1_j2ahgkxc.xlsx]Cash Flow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4"/>
      </tp>
      <tp>
        <v>44</v>
        <stp/>
        <stp>##V3_BDHV12</stp>
        <stp>AMZN US Equity</stp>
        <stp>NON_CASH_ITEMS_DETAILED</stp>
        <stp>FQ3 2005</stp>
        <stp>FQ3 2005</stp>
        <stp>[FA1_j2ahgkxc.xlsx]Cash Flow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4"/>
      </tp>
      <tp>
        <v>55</v>
        <stp/>
        <stp>##V3_BDHV12</stp>
        <stp>AMZN US Equity</stp>
        <stp>NON_CASH_ITEMS_DETAILED</stp>
        <stp>FQ2 2005</stp>
        <stp>FQ2 2005</stp>
        <stp>[FA1_j2ahgkxc.xlsx]Cash Flow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4"/>
      </tp>
      <tp>
        <v>0</v>
        <stp/>
        <stp>##V3_BDHV12</stp>
        <stp>AMZN US Equity</stp>
        <stp>CF_DECR_CAP_STOCK</stp>
        <stp>FQ2 2000</stp>
        <stp>FQ2 2000</stp>
        <stp>[FA1_j2ahgkxc.xlsx]Cash Flow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4"/>
      </tp>
      <tp>
        <v>0</v>
        <stp/>
        <stp>##V3_BDHV12</stp>
        <stp>AMZN US Equity</stp>
        <stp>CF_DECR_CAP_STOCK</stp>
        <stp>FQ3 2000</stp>
        <stp>FQ3 2000</stp>
        <stp>[FA1_j2ahgkxc.xlsx]Cash Flow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4"/>
      </tp>
      <tp>
        <v>62</v>
        <stp/>
        <stp>##V3_BDHV12</stp>
        <stp>AMZN US Equity</stp>
        <stp>IS_INC_TAX_EXP</stp>
        <stp>FQ1 2008</stp>
        <stp>FQ1 2008</stp>
        <stp>[FA1_j2ahgkxc.xlsx]Income - Adjusted!R21C39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1" s="2"/>
      </tp>
      <tp>
        <v>0</v>
        <stp/>
        <stp>##V3_BDHV12</stp>
        <stp>AMZN US Equity</stp>
        <stp>IS_INC_TAX_EXP</stp>
        <stp>FQ3 2004</stp>
        <stp>FQ3 2004</stp>
        <stp>[FA1_j2ahgkxc.xlsx]Income - Adjusted!R21C25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1" s="2"/>
      </tp>
      <tp>
        <v>33</v>
        <stp/>
        <stp>##V3_BDHV12</stp>
        <stp>AMZN US Equity</stp>
        <stp>IS_INC_TAX_EXP</stp>
        <stp>FQ2 2007</stp>
        <stp>FQ2 2007</stp>
        <stp>[FA1_j2ahgkxc.xlsx]Income - Adjusted!R21C36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1" s="2"/>
      </tp>
      <tp>
        <v>0</v>
        <stp/>
        <stp>##V3_BDHV12</stp>
        <stp>AMZN US Equity</stp>
        <stp>IS_INC_TAX_EXP</stp>
        <stp>FQ4 2003</stp>
        <stp>FQ4 2003</stp>
        <stp>[FA1_j2ahgkxc.xlsx]Income - Adjusted!R21C22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1" s="2"/>
      </tp>
      <tp>
        <v>-0.56999999999999995</v>
        <stp/>
        <stp>##V3_BDHV12</stp>
        <stp>AMZN US Equity</stp>
        <stp>NON_CASH_ITEMS_DETAILED</stp>
        <stp>FQ2 2004</stp>
        <stp>FQ2 2004</stp>
        <stp>[FA1_j2ahgkxc.xlsx]Cash Flow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4"/>
      </tp>
      <tp>
        <v>51.505000000000003</v>
        <stp/>
        <stp>##V3_BDHV12</stp>
        <stp>AMZN US Equity</stp>
        <stp>NON_CASH_ITEMS_DETAILED</stp>
        <stp>FQ4 2003</stp>
        <stp>FQ4 2003</stp>
        <stp>[FA1_j2ahgkxc.xlsx]Cash Flow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4"/>
      </tp>
      <tp>
        <v>20.58</v>
        <stp/>
        <stp>##V3_BDHV12</stp>
        <stp>AMZN US Equity</stp>
        <stp>NON_CASH_ITEMS_DETAILED</stp>
        <stp>FQ3 2004</stp>
        <stp>FQ3 2004</stp>
        <stp>[FA1_j2ahgkxc.xlsx]Cash Flow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4"/>
      </tp>
      <tp>
        <v>31</v>
        <stp/>
        <stp>##V3_BDHV12</stp>
        <stp>AMZN US Equity</stp>
        <stp>NON_CASH_ITEMS_DETAILED</stp>
        <stp>FQ1 2005</stp>
        <stp>FQ1 2005</stp>
        <stp>[FA1_j2ahgkxc.xlsx]Cash Flow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4"/>
      </tp>
      <tp>
        <v>0</v>
        <stp/>
        <stp>##V3_BDHV12</stp>
        <stp>AMZN US Equity</stp>
        <stp>CF_DECR_CAP_STOCK</stp>
        <stp>FQ1 2000</stp>
        <stp>FQ1 2000</stp>
        <stp>[FA1_j2ahgkxc.xlsx]Cash Flow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4"/>
      </tp>
      <tp>
        <v>108</v>
        <stp/>
        <stp>##V3_BDHV12</stp>
        <stp>AMZN US Equity</stp>
        <stp>PRETAX_INC</stp>
        <stp>FQ2 2005</stp>
        <stp>FQ2 2005</stp>
        <stp>[FA1_j2ahgkxc.xlsx]Income - Adjusted!R17C28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7" s="2"/>
      </tp>
      <tp>
        <v>34.066000000000003</v>
        <stp/>
        <stp>##V3_BDHV12</stp>
        <stp>AMZN US Equity</stp>
        <stp>NON_CASH_ITEMS_DETAILED</stp>
        <stp>FQ3 2003</stp>
        <stp>FQ3 2003</stp>
        <stp>[FA1_j2ahgkxc.xlsx]Cash Flow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4"/>
      </tp>
      <tp>
        <v>-208.24100000000001</v>
        <stp/>
        <stp>##V3_BDHV12</stp>
        <stp>AMZN US Equity</stp>
        <stp>NON_CASH_ITEMS_DETAILED</stp>
        <stp>FQ4 2004</stp>
        <stp>FQ4 2004</stp>
        <stp>[FA1_j2ahgkxc.xlsx]Cash Flow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4"/>
      </tp>
      <tp>
        <v>83.841999999999999</v>
        <stp/>
        <stp>##V3_BDHV12</stp>
        <stp>AMZN US Equity</stp>
        <stp>NON_CASH_ITEMS_DETAILED</stp>
        <stp>FQ2 2003</stp>
        <stp>FQ2 2003</stp>
        <stp>[FA1_j2ahgkxc.xlsx]Cash Flow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4"/>
      </tp>
      <tp>
        <v>-13.733000000000001</v>
        <stp/>
        <stp>##V3_BDHV12</stp>
        <stp>AMZN US Equity</stp>
        <stp>NON_CASH_ITEMS_DETAILED</stp>
        <stp>FQ1 2004</stp>
        <stp>FQ1 2004</stp>
        <stp>[FA1_j2ahgkxc.xlsx]Cash Flow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4"/>
      </tp>
      <tp>
        <v>-73</v>
        <stp/>
        <stp>##V3_BDHV12</stp>
        <stp>AMZN US Equity</stp>
        <stp>CHG_IN_FXD_&amp;_INTANG_AST_DETAILED</stp>
        <stp>FQ4 2007</stp>
        <stp>FQ4 2007</stp>
        <stp>[FA1_j2ahgkxc.xlsx]Cash Flow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4"/>
      </tp>
      <tp>
        <v>-102</v>
        <stp/>
        <stp>##V3_BDHV12</stp>
        <stp>AMZN US Equity</stp>
        <stp>CHG_IN_FXD_&amp;_INTANG_AST_DETAILED</stp>
        <stp>FQ3 2008</stp>
        <stp>FQ3 2008</stp>
        <stp>[FA1_j2ahgkxc.xlsx]Cash Flow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4"/>
      </tp>
      <tp>
        <v>357.14</v>
        <stp/>
        <stp>##V3_BDHV12</stp>
        <stp>AMZN US Equity</stp>
        <stp>BS_SH_OUT</stp>
        <stp>FQ4 2000</stp>
        <stp>FQ4 2000</stp>
        <stp>[FA1_j2ahgkxc.xlsx]Per Share!R6C10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5"/>
      </tp>
      <tp t="s">
        <v>—</v>
        <stp/>
        <stp>##V3_BDHV12</stp>
        <stp>AMZN US Equity</stp>
        <stp>LONG_TERM_BORROWINGS_DETAILED</stp>
        <stp>FQ4 2002</stp>
        <stp>FQ4 2002</stp>
        <stp>[FA1_j2ahgkxc.xlsx]Bal Sheet - Standardized!R41C18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1" s="3"/>
      </tp>
      <tp>
        <v>0</v>
        <stp/>
        <stp>##V3_BDHV12</stp>
        <stp>AMZN US Equity</stp>
        <stp>XO_GL_NET_OF_TAX</stp>
        <stp>FQ4 2008</stp>
        <stp>FQ4 2008</stp>
        <stp>[FA1_j2ahgkxc.xlsx]Income - Adjusted!R23C42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2"/>
      </tp>
      <tp>
        <v>0</v>
        <stp/>
        <stp>##V3_BDHV12</stp>
        <stp>AMZN US Equity</stp>
        <stp>XO_GL_NET_OF_TAX</stp>
        <stp>FQ4 2008</stp>
        <stp>FQ4 2008</stp>
        <stp>[FA1_j2ahgkxc.xlsx]Income - Adjusted!R32C42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2"/>
      </tp>
      <tp t="s">
        <v>—</v>
        <stp/>
        <stp>##V3_BDHV12</stp>
        <stp>AMZN US Equity</stp>
        <stp>LONG_TERM_BORROWINGS_DETAILED</stp>
        <stp>FQ4 2000</stp>
        <stp>FQ4 2000</stp>
        <stp>[FA1_j2ahgkxc.xlsx]Bal Sheet - Standardized!R41C10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1" s="3"/>
      </tp>
      <tp t="s">
        <v>—</v>
        <stp/>
        <stp>##V3_BDHV12</stp>
        <stp>AMZN US Equity</stp>
        <stp>IS_INT_INC</stp>
        <stp>FQ4 1999</stp>
        <stp>FQ4 1999</stp>
        <stp>[FA1_j2ahgkxc.xlsx]Income - Adjusted!R15C7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5" s="2"/>
      </tp>
      <tp t="s">
        <v>—</v>
        <stp/>
        <stp>##V3_BDHV12</stp>
        <stp>AMZN US Equity</stp>
        <stp>LONG_TERM_BORROWINGS_DETAILED</stp>
        <stp>FQ4 2001</stp>
        <stp>FQ4 2001</stp>
        <stp>[FA1_j2ahgkxc.xlsx]Bal Sheet - Standardized!R41C14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1" s="3"/>
      </tp>
      <tp t="s">
        <v>—</v>
        <stp/>
        <stp>##V3_BDHV12</stp>
        <stp>AMZN US Equity</stp>
        <stp>LT_CAPITAL_LEASE_OBLIGATIONS</stp>
        <stp>FQ3 2000</stp>
        <stp>FQ3 2000</stp>
        <stp>[FA1_j2ahgkxc.xlsx]Bal Sheet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3"/>
      </tp>
      <tp t="s">
        <v>—</v>
        <stp/>
        <stp>##V3_BDHV12</stp>
        <stp>AMZN US Equity</stp>
        <stp>ST_CAPITAL_LEASE_OBLIGATIONS</stp>
        <stp>FQ3 2000</stp>
        <stp>FQ3 2000</stp>
        <stp>[FA1_j2ahgkxc.xlsx]Bal Sheet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3"/>
      </tp>
      <tp t="s">
        <v>—</v>
        <stp/>
        <stp>##V3_BDHV12</stp>
        <stp>AMZN US Equity</stp>
        <stp>LT_CAPITAL_LEASE_OBLIGATIONS</stp>
        <stp>FQ1 2000</stp>
        <stp>FQ1 2000</stp>
        <stp>[FA1_j2ahgkxc.xlsx]Bal Sheet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3"/>
      </tp>
      <tp t="s">
        <v>—</v>
        <stp/>
        <stp>##V3_BDHV12</stp>
        <stp>AMZN US Equity</stp>
        <stp>ST_CAPITAL_LEASE_OBLIGATIONS</stp>
        <stp>FQ1 2000</stp>
        <stp>FQ1 2000</stp>
        <stp>[FA1_j2ahgkxc.xlsx]Bal Sheet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3"/>
      </tp>
      <tp>
        <v>1303</v>
        <stp/>
        <stp>##V3_BDHV12</stp>
        <stp>AMZN US Equity</stp>
        <stp>IS_COGS_TO_FE_AND_PP_AND_G</stp>
        <stp>FQ2 2005</stp>
        <stp>FQ2 2005</stp>
        <stp>[FA1_j2ahgkxc.xlsx]Income - Adjusted!R7C28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7" s="2"/>
      </tp>
      <tp>
        <v>1395</v>
        <stp/>
        <stp>##V3_BDHV12</stp>
        <stp>AMZN US Equity</stp>
        <stp>IS_COGS_TO_FE_AND_PP_AND_G</stp>
        <stp>FQ3 2005</stp>
        <stp>FQ3 2005</stp>
        <stp>[FA1_j2ahgkxc.xlsx]Income - Adjusted!R7C29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7" s="2"/>
      </tp>
      <tp>
        <v>1533.8621000000001</v>
        <stp/>
        <stp>##V3_BDHV12</stp>
        <stp>AMZN US Equity</stp>
        <stp>NON_CUR_LIAB</stp>
        <stp>FQ1 1999</stp>
        <stp>FQ1 1999</stp>
        <stp>[FA1_j2ahgkxc.xlsx]Bal Sheet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3"/>
      </tp>
      <tp>
        <v>1462.203</v>
        <stp/>
        <stp>##V3_BDHV12</stp>
        <stp>AMZN US Equity</stp>
        <stp>NON_CUR_LIAB</stp>
        <stp>FQ3 1999</stp>
        <stp>FQ3 1999</stp>
        <stp>[FA1_j2ahgkxc.xlsx]Bal Sheet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3"/>
      </tp>
      <tp>
        <v>348.14</v>
        <stp/>
        <stp>##V3_BDHV12</stp>
        <stp>AMZN US Equity</stp>
        <stp>NON_CUR_LIAB</stp>
        <stp>FQ4 1998</stp>
        <stp>FQ4 1998</stp>
        <stp>[FA1_j2ahgkxc.xlsx]Bal Sheet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3"/>
      </tp>
      <tp>
        <v>1449.2239999999999</v>
        <stp/>
        <stp>##V3_BDHV12</stp>
        <stp>AMZN US Equity</stp>
        <stp>NON_CUR_LIAB</stp>
        <stp>FQ2 1999</stp>
        <stp>FQ2 1999</stp>
        <stp>[FA1_j2ahgkxc.xlsx]Bal Sheet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3"/>
      </tp>
      <tp>
        <v>1466.338</v>
        <stp/>
        <stp>##V3_BDHV12</stp>
        <stp>AMZN US Equity</stp>
        <stp>NON_CUR_LIAB</stp>
        <stp>FQ4 1999</stp>
        <stp>FQ4 1999</stp>
        <stp>[FA1_j2ahgkxc.xlsx]Bal Sheet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3"/>
      </tp>
      <tp>
        <v>194</v>
        <stp/>
        <stp>##V3_BDHV12</stp>
        <stp>AMZN US Equity</stp>
        <stp>BS_GOODWILL</stp>
        <stp>FQ3 2006</stp>
        <stp>FQ3 2006</stp>
        <stp>[FA1_j2ahgkxc.xlsx]Bal Sheet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3"/>
      </tp>
      <tp>
        <v>70.811000000000007</v>
        <stp/>
        <stp>##V3_BDHV12</stp>
        <stp>AMZN US Equity</stp>
        <stp>BS_GOODWILL</stp>
        <stp>FQ1 2002</stp>
        <stp>FQ1 2002</stp>
        <stp>[FA1_j2ahgkxc.xlsx]Bal Sheet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3"/>
      </tp>
      <tp>
        <v>80.424000000000007</v>
        <stp/>
        <stp>##V3_BDHV12</stp>
        <stp>AMZN US Equity</stp>
        <stp>BS_GOODWILL</stp>
        <stp>FQ1 2001</stp>
        <stp>FQ1 2001</stp>
        <stp>[FA1_j2ahgkxc.xlsx]Bal Sheet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3"/>
      </tp>
      <tp>
        <v>70.811000000000007</v>
        <stp/>
        <stp>##V3_BDHV12</stp>
        <stp>AMZN US Equity</stp>
        <stp>BS_GOODWILL</stp>
        <stp>FQ2 2003</stp>
        <stp>FQ2 2003</stp>
        <stp>[FA1_j2ahgkxc.xlsx]Bal Sheet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3"/>
      </tp>
      <tp t="s">
        <v>—</v>
        <stp/>
        <stp>##V3_BDHV12</stp>
        <stp>AMZN US Equity</stp>
        <stp>BS_CURR_RENTAL_EXPENSE</stp>
        <stp>FQ2 2003</stp>
        <stp>FQ2 2003</stp>
        <stp>[FA1_j2ahgkxc.xlsx]Income - Adjusted!R58C20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8" s="2"/>
      </tp>
      <tp t="s">
        <v>—</v>
        <stp/>
        <stp>##V3_BDHV12</stp>
        <stp>AMZN US Equity</stp>
        <stp>BS_CURR_RENTAL_EXPENSE</stp>
        <stp>FQ3 2001</stp>
        <stp>FQ3 2001</stp>
        <stp>[FA1_j2ahgkxc.xlsx]Income - Adjusted!R58C13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8" s="2"/>
      </tp>
      <tp>
        <v>-0.1477</v>
        <stp/>
        <stp>##V3_BDHV12</stp>
        <stp>AMZN US Equity</stp>
        <stp>EBITDA_PER_SH</stp>
        <stp>FQ1 1999</stp>
        <stp>FQ1 1999</stp>
        <stp>[FA1_j2ahgkxc.xlsx]Per Share!R12C4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2" s="5"/>
      </tp>
      <tp>
        <v>-0.31319999999999998</v>
        <stp/>
        <stp>##V3_BDHV12</stp>
        <stp>AMZN US Equity</stp>
        <stp>EBITDA_PER_SH</stp>
        <stp>FQ2 1999</stp>
        <stp>FQ2 1999</stp>
        <stp>[FA1_j2ahgkxc.xlsx]Per Share!R12C5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2" s="5"/>
      </tp>
      <tp>
        <v>-0.20930000000000001</v>
        <stp/>
        <stp>##V3_BDHV12</stp>
        <stp>AMZN US Equity</stp>
        <stp>EBITDA_PER_SH</stp>
        <stp>FQ3 1999</stp>
        <stp>FQ3 1999</stp>
        <stp>[FA1_j2ahgkxc.xlsx]Per Share!R12C6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2" s="5"/>
      </tp>
      <tp>
        <v>0.26850000000000002</v>
        <stp/>
        <stp>##V3_BDHV12</stp>
        <stp>AMZN US Equity</stp>
        <stp>EBITDA_PER_SH</stp>
        <stp>FQ4 1999</stp>
        <stp>FQ4 1999</stp>
        <stp>[FA1_j2ahgkxc.xlsx]Per Share!R12C7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2" s="5"/>
      </tp>
      <tp>
        <v>218</v>
        <stp/>
        <stp>##V3_BDHV12</stp>
        <stp>AMZN US Equity</stp>
        <stp>BS_GOODWILL</stp>
        <stp>FQ3 2007</stp>
        <stp>FQ3 2007</stp>
        <stp>[FA1_j2ahgkxc.xlsx]Bal Sheet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3"/>
      </tp>
      <tp>
        <v>69.120999999999995</v>
        <stp/>
        <stp>##V3_BDHV12</stp>
        <stp>AMZN US Equity</stp>
        <stp>BS_GOODWILL</stp>
        <stp>FQ2 2004</stp>
        <stp>FQ2 2004</stp>
        <stp>[FA1_j2ahgkxc.xlsx]Bal Sheet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3"/>
      </tp>
      <tp>
        <v>809.35699999999997</v>
        <stp/>
        <stp>##V3_BDHV12</stp>
        <stp>AMZN US Equity</stp>
        <stp>BS_CUR_ASSET_REPORT</stp>
        <stp>FQ2 2001</stp>
        <stp>FQ2 2001</stp>
        <stp>[FA1_j2ahgkxc.xlsx]Bal Sheet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154</v>
        <stp/>
        <stp>##V3_BDHV12</stp>
        <stp>AMZN US Equity</stp>
        <stp>BS_GOODWILL</stp>
        <stp>FQ2 2005</stp>
        <stp>FQ2 2005</stp>
        <stp>[FA1_j2ahgkxc.xlsx]Bal Sheet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3"/>
      </tp>
      <tp>
        <v>1793</v>
        <stp/>
        <stp>##V3_BDHV12</stp>
        <stp>AMZN US Equity</stp>
        <stp>BS_CUR_ASSET_REPORT</stp>
        <stp>FQ1 2005</stp>
        <stp>FQ1 2005</stp>
        <stp>[FA1_j2ahgkxc.xlsx]Bal Sheet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3"/>
      </tp>
      <tp>
        <v>438</v>
        <stp/>
        <stp>##V3_BDHV12</stp>
        <stp>AMZN US Equity</stp>
        <stp>BS_GOODWILL</stp>
        <stp>FQ4 2008</stp>
        <stp>FQ4 2008</stp>
        <stp>[FA1_j2ahgkxc.xlsx]Bal Sheet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3"/>
      </tp>
      <tp t="s">
        <v>—</v>
        <stp/>
        <stp>##V3_BDHV12</stp>
        <stp>AMZN US Equity</stp>
        <stp>BS_CURR_RENTAL_EXPENSE</stp>
        <stp>FQ1 2003</stp>
        <stp>FQ1 2003</stp>
        <stp>[FA1_j2ahgkxc.xlsx]Income - Adjusted!R58C19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8" s="2"/>
      </tp>
      <tp>
        <v>1043.577</v>
        <stp/>
        <stp>##V3_BDHV12</stp>
        <stp>AMZN US Equity</stp>
        <stp>BS_CUR_ASSET_REPORT</stp>
        <stp>FQ2 2002</stp>
        <stp>FQ2 2002</stp>
        <stp>[FA1_j2ahgkxc.xlsx]Bal Sheet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3"/>
      </tp>
      <tp>
        <v>1405.5740000000001</v>
        <stp/>
        <stp>##V3_BDHV12</stp>
        <stp>AMZN US Equity</stp>
        <stp>BS_CUR_ASSET_REPORT</stp>
        <stp>FQ1 2004</stp>
        <stp>FQ1 2004</stp>
        <stp>[FA1_j2ahgkxc.xlsx]Bal Sheet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3"/>
      </tp>
      <tp>
        <v>70.811000000000007</v>
        <stp/>
        <stp>##V3_BDHV12</stp>
        <stp>AMZN US Equity</stp>
        <stp>BS_GOODWILL</stp>
        <stp>FQ1 2003</stp>
        <stp>FQ1 2003</stp>
        <stp>[FA1_j2ahgkxc.xlsx]Bal Sheet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3"/>
      </tp>
      <tp t="s">
        <v>—</v>
        <stp/>
        <stp>##V3_BDHV12</stp>
        <stp>AMZN US Equity</stp>
        <stp>IS_CAP_INT_EXP</stp>
        <stp>FQ1 2007</stp>
        <stp>FQ1 2007</stp>
        <stp>[FA1_j2ahgkxc.xlsx]Income - Adjusted!R56C35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6" s="2"/>
      </tp>
      <tp t="s">
        <v>—</v>
        <stp/>
        <stp>##V3_BDHV12</stp>
        <stp>AMZN US Equity</stp>
        <stp>IS_CAP_INT_EXP</stp>
        <stp>FQ3 2004</stp>
        <stp>FQ3 2004</stp>
        <stp>[FA1_j2ahgkxc.xlsx]Income - Adjusted!R56C25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6" s="2"/>
      </tp>
      <tp t="s">
        <v>—</v>
        <stp/>
        <stp>##V3_BDHV12</stp>
        <stp>AMZN US Equity</stp>
        <stp>IS_CAP_INT_EXP</stp>
        <stp>FQ4 2003</stp>
        <stp>FQ4 2003</stp>
        <stp>[FA1_j2ahgkxc.xlsx]Income - Adjusted!R56C22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6" s="2"/>
      </tp>
      <tp t="s">
        <v>—</v>
        <stp/>
        <stp>##V3_BDHV12</stp>
        <stp>AMZN US Equity</stp>
        <stp>IS_CAP_INT_EXP</stp>
        <stp>FQ4 2000</stp>
        <stp>FQ4 2000</stp>
        <stp>[FA1_j2ahgkxc.xlsx]Income - Adjusted!R56C10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6" s="2"/>
      </tp>
      <tp>
        <v>381.46600000000001</v>
        <stp/>
        <stp>##V3_BDHV12</stp>
        <stp>AMZN US Equity</stp>
        <stp>EQY_SH_OUT</stp>
        <stp>FQ4 2002</stp>
        <stp>FQ4 2002</stp>
        <stp>[FA1_j2ahgkxc.xlsx]Stock Value!R13C18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3" s="6"/>
      </tp>
      <tp>
        <v>415.17700000000002</v>
        <stp/>
        <stp>##V3_BDHV12</stp>
        <stp>AMZN US Equity</stp>
        <stp>EQY_SH_OUT</stp>
        <stp>FQ4 2007</stp>
        <stp>FQ4 2007</stp>
        <stp>[FA1_j2ahgkxc.xlsx]Stock Value!R13C38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3" s="6"/>
      </tp>
      <tp t="s">
        <v>—</v>
        <stp/>
        <stp>##V3_BDHV12</stp>
        <stp>AMZN US Equity</stp>
        <stp>IS_CAP_INT_EXP</stp>
        <stp>FQ2 2005</stp>
        <stp>FQ2 2005</stp>
        <stp>[FA1_j2ahgkxc.xlsx]Income - Adjusted!R56C28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6" s="2"/>
      </tp>
      <tp t="s">
        <v>—</v>
        <stp/>
        <stp>##V3_BDHV12</stp>
        <stp>AMZN US Equity</stp>
        <stp>CASH_FLOW_TO_NET_INC</stp>
        <stp>FQ2 2000</stp>
        <stp>FQ2 2000</stp>
        <stp>[FA1_j2ahgkxc.xlsx]Cash Flow - Standardized!R54C8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4" s="4"/>
      </tp>
      <tp t="s">
        <v>—</v>
        <stp/>
        <stp>##V3_BDHV12</stp>
        <stp>AMZN US Equity</stp>
        <stp>CASH_FLOW_TO_NET_INC</stp>
        <stp>FQ2 1999</stp>
        <stp>FQ2 1999</stp>
        <stp>[FA1_j2ahgkxc.xlsx]Cash Flow - Standardized!R54C4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4" s="4"/>
      </tp>
      <tp>
        <v>-17.236000000000001</v>
        <stp/>
        <stp>##V3_BDHV12</stp>
        <stp>AMZN US Equity</stp>
        <stp>CHG_IN_FXD_&amp;_INTANG_AST_DETAILED</stp>
        <stp>FQ4 2003</stp>
        <stp>FQ4 2003</stp>
        <stp>[FA1_j2ahgkxc.xlsx]Cash Flow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4"/>
      </tp>
      <tp>
        <v>-36.755000000000003</v>
        <stp/>
        <stp>##V3_BDHV12</stp>
        <stp>AMZN US Equity</stp>
        <stp>CHG_IN_FXD_&amp;_INTANG_AST_DETAILED</stp>
        <stp>FQ4 2004</stp>
        <stp>FQ4 2004</stp>
        <stp>[FA1_j2ahgkxc.xlsx]Cash Flow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4"/>
      </tp>
      <tp>
        <v>-204</v>
        <stp/>
        <stp>##V3_BDHV12</stp>
        <stp>AMZN US Equity</stp>
        <stp>NON_CASH_ITEMS_DETAILED</stp>
        <stp>FQ4 2007</stp>
        <stp>FQ4 2007</stp>
        <stp>[FA1_j2ahgkxc.xlsx]Cash Flow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4"/>
      </tp>
      <tp>
        <v>-27</v>
        <stp/>
        <stp>##V3_BDHV12</stp>
        <stp>AMZN US Equity</stp>
        <stp>NON_CASH_ITEMS_DETAILED</stp>
        <stp>FQ1 2008</stp>
        <stp>FQ1 2008</stp>
        <stp>[FA1_j2ahgkxc.xlsx]Cash Flow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4"/>
      </tp>
      <tp>
        <v>0</v>
        <stp/>
        <stp>##V3_BDHV12</stp>
        <stp>AMZN US Equity</stp>
        <stp>IS_INC_TAX_EXP</stp>
        <stp>FQ1 2001</stp>
        <stp>FQ1 2001</stp>
        <stp>[FA1_j2ahgkxc.xlsx]Income - Adjusted!R21C11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1" s="2"/>
      </tp>
      <tp>
        <v>44</v>
        <stp/>
        <stp>##V3_BDHV12</stp>
        <stp>AMZN US Equity</stp>
        <stp>IS_INC_TAX_EXP</stp>
        <stp>FQ3 2007</stp>
        <stp>FQ3 2007</stp>
        <stp>[FA1_j2ahgkxc.xlsx]Income - Adjusted!R21C37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1" s="2"/>
      </tp>
      <tp>
        <v>0</v>
        <stp/>
        <stp>##V3_BDHV12</stp>
        <stp>AMZN US Equity</stp>
        <stp>IS_INC_TAX_EXP</stp>
        <stp>FQ2 2004</stp>
        <stp>FQ2 2004</stp>
        <stp>[FA1_j2ahgkxc.xlsx]Income - Adjusted!R21C24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1" s="2"/>
      </tp>
      <tp>
        <v>0</v>
        <stp/>
        <stp>##V3_BDHV12</stp>
        <stp>AMZN US Equity</stp>
        <stp>IS_INC_TAX_EXP</stp>
        <stp>FQ4 2000</stp>
        <stp>FQ4 2000</stp>
        <stp>[FA1_j2ahgkxc.xlsx]Income - Adjusted!R21C10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1" s="2"/>
      </tp>
      <tp>
        <v>51</v>
        <stp/>
        <stp>##V3_BDHV12</stp>
        <stp>AMZN US Equity</stp>
        <stp>PRETAX_INC</stp>
        <stp>FQ3 2005</stp>
        <stp>FQ3 2005</stp>
        <stp>[FA1_j2ahgkxc.xlsx]Income - Adjusted!R17C29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7" s="2"/>
      </tp>
      <tp>
        <v>59</v>
        <stp/>
        <stp>##V3_BDHV12</stp>
        <stp>AMZN US Equity</stp>
        <stp>NON_CASH_ITEMS_DETAILED</stp>
        <stp>FQ4 2005</stp>
        <stp>FQ4 2005</stp>
        <stp>[FA1_j2ahgkxc.xlsx]Cash Flow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4"/>
      </tp>
      <tp>
        <v>15</v>
        <stp/>
        <stp>##V3_BDHV12</stp>
        <stp>AMZN US Equity</stp>
        <stp>NON_CASH_ITEMS_DETAILED</stp>
        <stp>FQ1 2007</stp>
        <stp>FQ1 2007</stp>
        <stp>[FA1_j2ahgkxc.xlsx]Cash Flow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4"/>
      </tp>
      <tp>
        <v>21</v>
        <stp/>
        <stp>##V3_BDHV12</stp>
        <stp>AMZN US Equity</stp>
        <stp>NON_CASH_ITEMS_DETAILED</stp>
        <stp>FQ3 2007</stp>
        <stp>FQ3 2007</stp>
        <stp>[FA1_j2ahgkxc.xlsx]Cash Flow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4"/>
      </tp>
      <tp>
        <v>17</v>
        <stp/>
        <stp>##V3_BDHV12</stp>
        <stp>AMZN US Equity</stp>
        <stp>NON_CASH_ITEMS_DETAILED</stp>
        <stp>FQ2 2007</stp>
        <stp>FQ2 2007</stp>
        <stp>[FA1_j2ahgkxc.xlsx]Cash Flow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4"/>
      </tp>
      <tp>
        <v>-69</v>
        <stp/>
        <stp>##V3_BDHV12</stp>
        <stp>AMZN US Equity</stp>
        <stp>CHG_IN_FXD_&amp;_INTANG_AST_DETAILED</stp>
        <stp>FQ2 2008</stp>
        <stp>FQ2 2008</stp>
        <stp>[FA1_j2ahgkxc.xlsx]Cash Flow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4"/>
      </tp>
      <tp>
        <v>-62</v>
        <stp/>
        <stp>##V3_BDHV12</stp>
        <stp>AMZN US Equity</stp>
        <stp>NON_CASH_ITEMS_DETAILED</stp>
        <stp>FQ4 2006</stp>
        <stp>FQ4 2006</stp>
        <stp>[FA1_j2ahgkxc.xlsx]Cash Flow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4"/>
      </tp>
      <tp>
        <v>30</v>
        <stp/>
        <stp>##V3_BDHV12</stp>
        <stp>AMZN US Equity</stp>
        <stp>NON_CASH_ITEMS_DETAILED</stp>
        <stp>FQ1 2006</stp>
        <stp>FQ1 2006</stp>
        <stp>[FA1_j2ahgkxc.xlsx]Cash Flow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4"/>
      </tp>
      <tp>
        <v>19</v>
        <stp/>
        <stp>##V3_BDHV12</stp>
        <stp>AMZN US Equity</stp>
        <stp>NON_CASH_ITEMS_DETAILED</stp>
        <stp>FQ2 2006</stp>
        <stp>FQ2 2006</stp>
        <stp>[FA1_j2ahgkxc.xlsx]Cash Flow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4"/>
      </tp>
      <tp>
        <v>36</v>
        <stp/>
        <stp>##V3_BDHV12</stp>
        <stp>AMZN US Equity</stp>
        <stp>NON_CASH_ITEMS_DETAILED</stp>
        <stp>FQ3 2006</stp>
        <stp>FQ3 2006</stp>
        <stp>[FA1_j2ahgkxc.xlsx]Cash Flow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4"/>
      </tp>
      <tp>
        <v>-0.96</v>
        <stp/>
        <stp>##V3_BDHV12</stp>
        <stp>AMZN US Equity</stp>
        <stp>IS_DIL_EPS_BEF_XO</stp>
        <stp>FQ4 1999</stp>
        <stp>FQ4 1999</stp>
        <stp>[FA1_j2ahgkxc.xlsx]Per Share!R18C7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8" s="5"/>
      </tp>
      <tp>
        <v>340.78699999999998</v>
        <stp/>
        <stp>##V3_BDHV12</stp>
        <stp>AMZN US Equity</stp>
        <stp>BS_SH_OUT</stp>
        <stp>FQ3 1999</stp>
        <stp>FQ3 1999</stp>
        <stp>[FA1_j2ahgkxc.xlsx]Bal Sheet - Standardized!R59C6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9" s="3"/>
      </tp>
      <tp>
        <v>322.74200000000002</v>
        <stp/>
        <stp>##V3_BDHV12</stp>
        <stp>AMZN US Equity</stp>
        <stp>BS_SH_OUT</stp>
        <stp>FQ1 1999</stp>
        <stp>FQ1 1999</stp>
        <stp>[FA1_j2ahgkxc.xlsx]Bal Sheet - Standardized!R59C4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9" s="3"/>
      </tp>
      <tp t="s">
        <v>—</v>
        <stp/>
        <stp>##V3_BDHV12</stp>
        <stp>AMZN US Equity</stp>
        <stp>EQY_FLOAT</stp>
        <stp>FQ1 2003</stp>
        <stp>FQ1 2003</stp>
        <stp>[FA1_j2ahgkxc.xlsx]Stock Value!R14C19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4" s="6"/>
      </tp>
      <tp>
        <v>0</v>
        <stp/>
        <stp>##V3_BDHV12</stp>
        <stp>AMZN US Equity</stp>
        <stp>OTHER_NONCUR_LIABS_SUB_DETAILED</stp>
        <stp>FQ1 2000</stp>
        <stp>FQ1 2000</stp>
        <stp>[FA1_j2ahgkxc.xlsx]Bal Sheet - Standardized!R43C8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3" s="3"/>
      </tp>
      <tp>
        <v>7.5663999999999998</v>
        <stp/>
        <stp>##V3_BDHV12</stp>
        <stp>AMZN US Equity</stp>
        <stp>CUR_RATIO</stp>
        <stp>FQ1 1999</stp>
        <stp>FQ1 1999</stp>
        <stp>[FA1_j2ahgkxc.xlsx]Bal Sheet - Standardized!R68C4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8" s="3"/>
      </tp>
      <tp>
        <v>403.35399999999998</v>
        <stp/>
        <stp>##V3_BDHV12</stp>
        <stp>AMZN US Equity</stp>
        <stp>BS_SH_OUT</stp>
        <stp>FQ4 2003</stp>
        <stp>FQ4 2003</stp>
        <stp>[FA1_j2ahgkxc.xlsx]Per Share!R6C22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5"/>
      </tp>
      <tp>
        <v>3.0196999999999998</v>
        <stp/>
        <stp>##V3_BDHV12</stp>
        <stp>AMZN US Equity</stp>
        <stp>CUR_RATIO</stp>
        <stp>FQ3 1999</stp>
        <stp>FQ3 1999</stp>
        <stp>[FA1_j2ahgkxc.xlsx]Bal Sheet - Standardized!R68C6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8" s="3"/>
      </tp>
      <tp>
        <v>0</v>
        <stp/>
        <stp>##V3_BDHV12</stp>
        <stp>AMZN US Equity</stp>
        <stp>OTHER_NONCUR_LIABS_SUB_DETAILED</stp>
        <stp>FQ3 2000</stp>
        <stp>FQ3 2000</stp>
        <stp>[FA1_j2ahgkxc.xlsx]Bal Sheet - Standardized!R43C9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3" s="3"/>
      </tp>
      <tp>
        <v>314.05900000000003</v>
        <stp/>
        <stp>##V3_BDHV12</stp>
        <stp>AMZN US Equity</stp>
        <stp>EQY_FLOAT</stp>
        <stp>FQ1 2008</stp>
        <stp>FQ1 2008</stp>
        <stp>[FA1_j2ahgkxc.xlsx]Stock Value!R14C39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4" s="6"/>
      </tp>
      <tp>
        <v>1093.451</v>
        <stp/>
        <stp>##V3_BDHV12</stp>
        <stp>AMZN US Equity</stp>
        <stp>IS_COGS_TO_FE_AND_PP_AND_G</stp>
        <stp>FQ4 2002</stp>
        <stp>FQ4 2002</stp>
        <stp>[FA1_j2ahgkxc.xlsx]Income - Adjusted!R7C18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7" s="2"/>
      </tp>
      <tp>
        <v>5356</v>
        <stp/>
        <stp>##V3_BDHV12</stp>
        <stp>AMZN US Equity</stp>
        <stp>IS_COGS_TO_FE_AND_PP_AND_G</stp>
        <stp>FQ4 2008</stp>
        <stp>FQ4 2008</stp>
        <stp>[FA1_j2ahgkxc.xlsx]Income - Adjusted!R7C42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7" s="2"/>
      </tp>
      <tp t="s">
        <v>—</v>
        <stp/>
        <stp>##V3_BDHV12</stp>
        <stp>AMZN US Equity</stp>
        <stp>BS_CURR_RENTAL_EXPENSE</stp>
        <stp>FQ1 2002</stp>
        <stp>FQ1 2002</stp>
        <stp>[FA1_j2ahgkxc.xlsx]Income - Adjusted!R58C15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8" s="2"/>
      </tp>
      <tp>
        <v>84</v>
        <stp/>
        <stp>##V3_BDHV12</stp>
        <stp>AMZN US Equity</stp>
        <stp>BS_CURR_RENTAL_EXPENSE</stp>
        <stp>FQ4 2005</stp>
        <stp>FQ4 2005</stp>
        <stp>[FA1_j2ahgkxc.xlsx]Income - Adjusted!R58C30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8" s="2"/>
      </tp>
      <tp>
        <v>193</v>
        <stp/>
        <stp>##V3_BDHV12</stp>
        <stp>AMZN US Equity</stp>
        <stp>BS_GOODWILL</stp>
        <stp>FQ2 2006</stp>
        <stp>FQ2 2006</stp>
        <stp>[FA1_j2ahgkxc.xlsx]Bal Sheet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3"/>
      </tp>
      <tp>
        <v>69.120999999999995</v>
        <stp/>
        <stp>##V3_BDHV12</stp>
        <stp>AMZN US Equity</stp>
        <stp>BS_GOODWILL</stp>
        <stp>FQ3 2003</stp>
        <stp>FQ3 2003</stp>
        <stp>[FA1_j2ahgkxc.xlsx]Bal Sheet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3"/>
      </tp>
      <tp t="s">
        <v>—</v>
        <stp/>
        <stp>##V3_BDHV12</stp>
        <stp>AMZN US Equity</stp>
        <stp>BS_CURR_RENTAL_EXPENSE</stp>
        <stp>FQ2 2001</stp>
        <stp>FQ2 2001</stp>
        <stp>[FA1_j2ahgkxc.xlsx]Income - Adjusted!R58C12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8" s="2"/>
      </tp>
      <tp t="s">
        <v>—</v>
        <stp/>
        <stp>##V3_BDHV12</stp>
        <stp>AMZN US Equity</stp>
        <stp>BS_CURR_RENTAL_EXPENSE</stp>
        <stp>FQ3 2003</stp>
        <stp>FQ3 2003</stp>
        <stp>[FA1_j2ahgkxc.xlsx]Income - Adjusted!R58C21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8" s="2"/>
      </tp>
      <tp t="s">
        <v>—</v>
        <stp/>
        <stp>##V3_BDHV12</stp>
        <stp>AMZN US Equity</stp>
        <stp>BS_CURR_RENTAL_EXPENSE</stp>
        <stp>FQ4 2004</stp>
        <stp>FQ4 2004</stp>
        <stp>[FA1_j2ahgkxc.xlsx]Income - Adjusted!R58C26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8" s="2"/>
      </tp>
      <tp>
        <v>-3.4500000000000003E-2</v>
        <stp/>
        <stp>##V3_BDHV12</stp>
        <stp>AMZN US Equity</stp>
        <stp>EBITDA_PER_SH</stp>
        <stp>FQ4 1998</stp>
        <stp>FQ4 1998</stp>
        <stp>[FA1_j2ahgkxc.xlsx]Per Share!R12C3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2" s="5"/>
      </tp>
      <tp>
        <v>214</v>
        <stp/>
        <stp>##V3_BDHV12</stp>
        <stp>AMZN US Equity</stp>
        <stp>BS_GOODWILL</stp>
        <stp>FQ2 2007</stp>
        <stp>FQ2 2007</stp>
        <stp>[FA1_j2ahgkxc.xlsx]Bal Sheet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3"/>
      </tp>
      <tp>
        <v>137.584</v>
        <stp/>
        <stp>##V3_BDHV12</stp>
        <stp>AMZN US Equity</stp>
        <stp>BS_GOODWILL</stp>
        <stp>FQ3 2004</stp>
        <stp>FQ3 2004</stp>
        <stp>[FA1_j2ahgkxc.xlsx]Bal Sheet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3"/>
      </tp>
      <tp>
        <v>3965</v>
        <stp/>
        <stp>##V3_BDHV12</stp>
        <stp>AMZN US Equity</stp>
        <stp>BS_CUR_ASSET_REPORT</stp>
        <stp>FQ1 2008</stp>
        <stp>FQ1 2008</stp>
        <stp>[FA1_j2ahgkxc.xlsx]Bal Sheet - Standardized!R18C39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3"/>
      </tp>
      <tp>
        <v>-151.72399999999999</v>
        <stp/>
        <stp>##V3_BDHV12</stp>
        <stp>AMZN US Equity</stp>
        <stp>EBIT</stp>
        <stp>FQ3 2000</stp>
        <stp>FQ3 2000</stp>
        <stp>[FA1_j2ahgkxc.xlsx]Income - Adjusted!R49C9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9" s="2"/>
      </tp>
      <tp>
        <v>870.27599999999995</v>
        <stp/>
        <stp>##V3_BDHV12</stp>
        <stp>AMZN US Equity</stp>
        <stp>BS_CUR_ASSET_REPORT</stp>
        <stp>FQ3 2001</stp>
        <stp>FQ3 2001</stp>
        <stp>[FA1_j2ahgkxc.xlsx]Bal Sheet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3"/>
      </tp>
      <tp>
        <v>186.67500000000001</v>
        <stp/>
        <stp>##V3_BDHV12</stp>
        <stp>AMZN US Equity</stp>
        <stp>BS_OTHER_ASSETS_DEF_CHRG_OTHER</stp>
        <stp>FQ4 1998</stp>
        <stp>FQ4 1998</stp>
        <stp>[FA1_j2ahgkxc.xlsx]Bal Sheet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884.923</v>
        <stp/>
        <stp>##V3_BDHV12</stp>
        <stp>AMZN US Equity</stp>
        <stp>BS_OTHER_ASSETS_DEF_CHRG_OTHER</stp>
        <stp>FQ2 1999</stp>
        <stp>FQ2 1999</stp>
        <stp>[FA1_j2ahgkxc.xlsx]Bal Sheet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3"/>
      </tp>
      <tp>
        <v>159</v>
        <stp/>
        <stp>##V3_BDHV12</stp>
        <stp>AMZN US Equity</stp>
        <stp>BS_GOODWILL</stp>
        <stp>FQ3 2005</stp>
        <stp>FQ3 2005</stp>
        <stp>[FA1_j2ahgkxc.xlsx]Bal Sheet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3"/>
      </tp>
      <tp>
        <v>2600</v>
        <stp/>
        <stp>##V3_BDHV12</stp>
        <stp>AMZN US Equity</stp>
        <stp>BS_CUR_ASSET_REPORT</stp>
        <stp>FQ1 2007</stp>
        <stp>FQ1 2007</stp>
        <stp>[FA1_j2ahgkxc.xlsx]Bal Sheet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3"/>
      </tp>
      <tp>
        <v>227.10599999999999</v>
        <stp/>
        <stp>##V3_BDHV12</stp>
        <stp>AMZN US Equity</stp>
        <stp>BS_OTHER_ASSETS_DEF_CHRG_OTHER</stp>
        <stp>FQ1 1999</stp>
        <stp>FQ1 1999</stp>
        <stp>[FA1_j2ahgkxc.xlsx]Bal Sheet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742.17100000000005</v>
        <stp/>
        <stp>##V3_BDHV12</stp>
        <stp>AMZN US Equity</stp>
        <stp>BS_OTHER_ASSETS_DEF_CHRG_OTHER</stp>
        <stp>FQ3 1999</stp>
        <stp>FQ3 1999</stp>
        <stp>[FA1_j2ahgkxc.xlsx]Bal Sheet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3"/>
      </tp>
      <tp>
        <v>997.02499999999998</v>
        <stp/>
        <stp>##V3_BDHV12</stp>
        <stp>AMZN US Equity</stp>
        <stp>BS_OTHER_ASSETS_DEF_CHRG_OTHER</stp>
        <stp>FQ4 1999</stp>
        <stp>FQ4 1999</stp>
        <stp>[FA1_j2ahgkxc.xlsx]Bal Sheet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3"/>
      </tp>
      <tp>
        <v>1119.6070999999999</v>
        <stp/>
        <stp>##V3_BDHV12</stp>
        <stp>AMZN US Equity</stp>
        <stp>BS_CUR_ASSET_REPORT</stp>
        <stp>FQ3 2002</stp>
        <stp>FQ3 2002</stp>
        <stp>[FA1_j2ahgkxc.xlsx]Bal Sheet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3"/>
      </tp>
      <tp>
        <v>2186</v>
        <stp/>
        <stp>##V3_BDHV12</stp>
        <stp>AMZN US Equity</stp>
        <stp>BS_CUR_ASSET_REPORT</stp>
        <stp>FQ1 2006</stp>
        <stp>FQ1 2006</stp>
        <stp>[FA1_j2ahgkxc.xlsx]Bal Sheet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3"/>
      </tp>
      <tp t="s">
        <v>—</v>
        <stp/>
        <stp>##V3_BDHV12</stp>
        <stp>AMZN US Equity</stp>
        <stp>IS_CAP_INT_EXP</stp>
        <stp>FQ2 2004</stp>
        <stp>FQ2 2004</stp>
        <stp>[FA1_j2ahgkxc.xlsx]Income - Adjusted!R56C24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6" s="2"/>
      </tp>
      <tp>
        <v>0</v>
        <stp/>
        <stp>##V3_BDHV12</stp>
        <stp>AMZN US Equity</stp>
        <stp>IS_CAP_INT_EXP</stp>
        <stp>FQ1 2006</stp>
        <stp>FQ1 2006</stp>
        <stp>[FA1_j2ahgkxc.xlsx]Income - Adjusted!R56C31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6" s="2"/>
      </tp>
      <tp t="s">
        <v>—</v>
        <stp/>
        <stp>##V3_BDHV12</stp>
        <stp>AMZN US Equity</stp>
        <stp>IS_CAP_INT_EXP</stp>
        <stp>FQ4 2001</stp>
        <stp>FQ4 2001</stp>
        <stp>[FA1_j2ahgkxc.xlsx]Income - Adjusted!R56C14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6" s="2"/>
      </tp>
      <tp t="s">
        <v>—</v>
        <stp/>
        <stp>##V3_BDHV12</stp>
        <stp>AMZN US Equity</stp>
        <stp>IS_CAP_INT_EXP</stp>
        <stp>FQ3 2005</stp>
        <stp>FQ3 2005</stp>
        <stp>[FA1_j2ahgkxc.xlsx]Income - Adjusted!R56C29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6" s="2"/>
      </tp>
      <tp t="s">
        <v>—</v>
        <stp/>
        <stp>##V3_BDHV12</stp>
        <stp>AMZN US Equity</stp>
        <stp>CASH_FLOW_TO_NET_INC</stp>
        <stp>FQ1 2000</stp>
        <stp>FQ1 2000</stp>
        <stp>[FA1_j2ahgkxc.xlsx]Cash Flow - Standardized!R54C7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4" s="4"/>
      </tp>
      <tp>
        <v>0</v>
        <stp/>
        <stp>##V3_BDHV12</stp>
        <stp>AMZN US Equity</stp>
        <stp>DISP_FXD_&amp;_INTANGIBLES_DETAILED</stp>
        <stp>FQ1 2000</stp>
        <stp>FQ1 2000</stp>
        <stp>[FA1_j2ahgkxc.xlsx]Cash Flow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4"/>
      </tp>
      <tp t="s">
        <v>—</v>
        <stp/>
        <stp>##V3_BDHV12</stp>
        <stp>AMZN US Equity</stp>
        <stp>CASH_FLOW_TO_NET_INC</stp>
        <stp>FQ1 1999</stp>
        <stp>FQ1 1999</stp>
        <stp>[FA1_j2ahgkxc.xlsx]Cash Flow - Standardized!R54C3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4" s="4"/>
      </tp>
      <tp>
        <v>0</v>
        <stp/>
        <stp>##V3_BDHV12</stp>
        <stp>AMZN US Equity</stp>
        <stp>DISP_FXD_&amp;_INTANGIBLES_DETAILED</stp>
        <stp>FQ2 2000</stp>
        <stp>FQ2 2000</stp>
        <stp>[FA1_j2ahgkxc.xlsx]Cash Flow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4"/>
      </tp>
      <tp>
        <v>0</v>
        <stp/>
        <stp>##V3_BDHV12</stp>
        <stp>AMZN US Equity</stp>
        <stp>DISP_FXD_&amp;_INTANGIBLES_DETAILED</stp>
        <stp>FQ3 2000</stp>
        <stp>FQ3 2000</stp>
        <stp>[FA1_j2ahgkxc.xlsx]Cash Flow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4"/>
      </tp>
      <tp>
        <v>-37.331000000000003</v>
        <stp/>
        <stp>##V3_BDHV12</stp>
        <stp>AMZN US Equity</stp>
        <stp>CHG_IN_FXD_&amp;_INTANG_AST_DETAILED</stp>
        <stp>FQ4 2000</stp>
        <stp>FQ4 2000</stp>
        <stp>[FA1_j2ahgkxc.xlsx]Cash Flow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4"/>
      </tp>
      <tp>
        <v>-7.5339999999999998</v>
        <stp/>
        <stp>##V3_BDHV12</stp>
        <stp>AMZN US Equity</stp>
        <stp>CHG_IN_FXD_&amp;_INTANG_AST_DETAILED</stp>
        <stp>FQ4 2001</stp>
        <stp>FQ4 2001</stp>
        <stp>[FA1_j2ahgkxc.xlsx]Cash Flow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4"/>
      </tp>
      <tp>
        <v>0</v>
        <stp/>
        <stp>##V3_BDHV12</stp>
        <stp>AMZN US Equity</stp>
        <stp>IS_INC_TAX_EXP</stp>
        <stp>FQ2 2001</stp>
        <stp>FQ2 2001</stp>
        <stp>[FA1_j2ahgkxc.xlsx]Income - Adjusted!R21C12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1" s="2"/>
      </tp>
      <tp>
        <v>0</v>
        <stp/>
        <stp>##V3_BDHV12</stp>
        <stp>AMZN US Equity</stp>
        <stp>IS_INC_TAX_EXP</stp>
        <stp>FQ2 2003</stp>
        <stp>FQ2 2003</stp>
        <stp>[FA1_j2ahgkxc.xlsx]Income - Adjusted!R21C20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1" s="2"/>
      </tp>
      <tp>
        <v>281</v>
        <stp/>
        <stp>##V3_BDHV12</stp>
        <stp>AMZN US Equity</stp>
        <stp>PRETAX_INC</stp>
        <stp>FQ4 2007</stp>
        <stp>FQ4 2007</stp>
        <stp>[FA1_j2ahgkxc.xlsx]Income - Adjusted!R17C38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7" s="2"/>
      </tp>
      <tp>
        <v>-15.516</v>
        <stp/>
        <stp>##V3_BDHV12</stp>
        <stp>AMZN US Equity</stp>
        <stp>CHG_IN_FXD_&amp;_INTANG_AST_DETAILED</stp>
        <stp>FQ4 2002</stp>
        <stp>FQ4 2002</stp>
        <stp>[FA1_j2ahgkxc.xlsx]Cash Flow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4"/>
      </tp>
      <tp>
        <v>-323.21300000000002</v>
        <stp/>
        <stp>##V3_BDHV12</stp>
        <stp>AMZN US Equity</stp>
        <stp>CF_NET_INC</stp>
        <stp>FQ4 1999</stp>
        <stp>FQ4 1999</stp>
        <stp>[FA1_j2ahgkxc.xlsx]Cash Flow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-138.00800000000001</v>
        <stp/>
        <stp>##V3_BDHV12</stp>
        <stp>AMZN US Equity</stp>
        <stp>CF_NET_INC</stp>
        <stp>FQ2 1999</stp>
        <stp>FQ2 1999</stp>
        <stp>[FA1_j2ahgkxc.xlsx]Cash Flow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4"/>
      </tp>
      <tp>
        <v>-197.08</v>
        <stp/>
        <stp>##V3_BDHV12</stp>
        <stp>AMZN US Equity</stp>
        <stp>CF_NET_INC</stp>
        <stp>FQ3 1999</stp>
        <stp>FQ3 1999</stp>
        <stp>[FA1_j2ahgkxc.xlsx]Cash Flow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-61.667000000000002</v>
        <stp/>
        <stp>##V3_BDHV12</stp>
        <stp>AMZN US Equity</stp>
        <stp>CF_NET_INC</stp>
        <stp>FQ1 1999</stp>
        <stp>FQ1 1999</stp>
        <stp>[FA1_j2ahgkxc.xlsx]Cash Flow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414</v>
        <stp/>
        <stp>##V3_BDHV12</stp>
        <stp>AMZN US Equity</stp>
        <stp>BS_SH_OUT</stp>
        <stp>FQ4 2006</stp>
        <stp>FQ4 2006</stp>
        <stp>[FA1_j2ahgkxc.xlsx]Per Share!R6C34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5"/>
      </tp>
      <tp>
        <v>419</v>
        <stp/>
        <stp>##V3_BDHV12</stp>
        <stp>AMZN US Equity</stp>
        <stp>BS_SH_OUT</stp>
        <stp>FQ2 2006</stp>
        <stp>FQ2 2006</stp>
        <stp>[FA1_j2ahgkxc.xlsx]Per Share!R6C32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5"/>
      </tp>
      <tp>
        <v>411</v>
        <stp/>
        <stp>##V3_BDHV12</stp>
        <stp>AMZN US Equity</stp>
        <stp>BS_SH_OUT</stp>
        <stp>FQ3 2006</stp>
        <stp>FQ3 2006</stp>
        <stp>[FA1_j2ahgkxc.xlsx]Per Share!R6C33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5"/>
      </tp>
      <tp>
        <v>417</v>
        <stp/>
        <stp>##V3_BDHV12</stp>
        <stp>AMZN US Equity</stp>
        <stp>BS_SH_OUT</stp>
        <stp>FQ1 2006</stp>
        <stp>FQ1 2006</stp>
        <stp>[FA1_j2ahgkxc.xlsx]Per Share!R6C31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5"/>
      </tp>
      <tp>
        <v>409.71100000000001</v>
        <stp/>
        <stp>##V3_BDHV12</stp>
        <stp>AMZN US Equity</stp>
        <stp>BS_SH_OUT</stp>
        <stp>FQ4 2004</stp>
        <stp>FQ4 2004</stp>
        <stp>[FA1_j2ahgkxc.xlsx]Per Share!R6C26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5"/>
      </tp>
      <tp>
        <v>404.89400000000001</v>
        <stp/>
        <stp>##V3_BDHV12</stp>
        <stp>AMZN US Equity</stp>
        <stp>BS_SH_OUT</stp>
        <stp>FQ1 2004</stp>
        <stp>FQ1 2004</stp>
        <stp>[FA1_j2ahgkxc.xlsx]Per Share!R6C23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5"/>
      </tp>
      <tp>
        <v>375.10899999999998</v>
        <stp/>
        <stp>##V3_BDHV12</stp>
        <stp>AMZN US Equity</stp>
        <stp>BS_SH_OUT</stp>
        <stp>FQ1 2002</stp>
        <stp>FQ1 2002</stp>
        <stp>[FA1_j2ahgkxc.xlsx]Per Share!R6C15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5"/>
      </tp>
      <tp>
        <v>380.30399999999997</v>
        <stp/>
        <stp>##V3_BDHV12</stp>
        <stp>AMZN US Equity</stp>
        <stp>BS_SH_OUT</stp>
        <stp>FQ2 2002</stp>
        <stp>FQ2 2002</stp>
        <stp>[FA1_j2ahgkxc.xlsx]Per Share!R6C16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5"/>
      </tp>
      <tp>
        <v>381.21600000000001</v>
        <stp/>
        <stp>##V3_BDHV12</stp>
        <stp>AMZN US Equity</stp>
        <stp>BS_SH_OUT</stp>
        <stp>FQ3 2002</stp>
        <stp>FQ3 2002</stp>
        <stp>[FA1_j2ahgkxc.xlsx]Per Share!R6C17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5"/>
      </tp>
      <tp>
        <v>1220</v>
        <stp/>
        <stp>##V3_BDHV12</stp>
        <stp>AMZN US Equity</stp>
        <stp>LONG_TERM_BORROWINGS_DETAILED</stp>
        <stp>FQ4 2007</stp>
        <stp>FQ4 2007</stp>
        <stp>[FA1_j2ahgkxc.xlsx]Bal Sheet - Standardized!R41C38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1" s="3"/>
      </tp>
      <tp t="s">
        <v>—</v>
        <stp/>
        <stp>##V3_BDHV12</stp>
        <stp>AMZN US Equity</stp>
        <stp>LONG_TERM_BORROWINGS_DETAILED</stp>
        <stp>FQ3 2008</stp>
        <stp>FQ3 2008</stp>
        <stp>[FA1_j2ahgkxc.xlsx]Bal Sheet - Standardized!R41C41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1" s="3"/>
      </tp>
      <tp>
        <v>0</v>
        <stp/>
        <stp>##V3_BDHV12</stp>
        <stp>AMZN US Equity</stp>
        <stp>INVTRY_RAW_MATERIALS</stp>
        <stp>FQ3 1999</stp>
        <stp>FQ3 1999</stp>
        <stp>[FA1_j2ahgkxc.xlsx]Bal Sheet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3"/>
      </tp>
      <tp>
        <v>0</v>
        <stp/>
        <stp>##V3_BDHV12</stp>
        <stp>AMZN US Equity</stp>
        <stp>INVTRY_RAW_MATERIALS</stp>
        <stp>FQ1 1999</stp>
        <stp>FQ1 1999</stp>
        <stp>[FA1_j2ahgkxc.xlsx]Bal Sheet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3"/>
      </tp>
      <tp>
        <v>1227</v>
        <stp/>
        <stp>##V3_BDHV12</stp>
        <stp>AMZN US Equity</stp>
        <stp>LONG_TERM_BORROWINGS_DETAILED</stp>
        <stp>FQ4 2006</stp>
        <stp>FQ4 2006</stp>
        <stp>[FA1_j2ahgkxc.xlsx]Bal Sheet - Standardized!R41C34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1" s="3"/>
      </tp>
      <tp>
        <v>0</v>
        <stp/>
        <stp>##V3_BDHV12</stp>
        <stp>AMZN US Equity</stp>
        <stp>INVTRY_RAW_MATERIALS</stp>
        <stp>FQ2 1999</stp>
        <stp>FQ2 1999</stp>
        <stp>[FA1_j2ahgkxc.xlsx]Bal Sheet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3"/>
      </tp>
      <tp>
        <v>0</v>
        <stp/>
        <stp>##V3_BDHV12</stp>
        <stp>AMZN US Equity</stp>
        <stp>INVTRY_RAW_MATERIALS</stp>
        <stp>FQ4 1998</stp>
        <stp>FQ4 1998</stp>
        <stp>[FA1_j2ahgkxc.xlsx]Bal Sheet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3"/>
      </tp>
      <tp>
        <v>0</v>
        <stp/>
        <stp>##V3_BDHV12</stp>
        <stp>AMZN US Equity</stp>
        <stp>XO_GL_NET_OF_TAX</stp>
        <stp>FQ1 2008</stp>
        <stp>FQ1 2008</stp>
        <stp>[FA1_j2ahgkxc.xlsx]Income - Adjusted!R32C39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2"/>
      </tp>
      <tp>
        <v>0</v>
        <stp/>
        <stp>##V3_BDHV12</stp>
        <stp>AMZN US Equity</stp>
        <stp>XO_GL_NET_OF_TAX</stp>
        <stp>FQ1 2008</stp>
        <stp>FQ1 2008</stp>
        <stp>[FA1_j2ahgkxc.xlsx]Income - Adjusted!R23C39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2"/>
      </tp>
      <tp>
        <v>1516</v>
        <stp/>
        <stp>##V3_BDHV12</stp>
        <stp>AMZN US Equity</stp>
        <stp>LONG_TERM_BORROWINGS_DETAILED</stp>
        <stp>FQ4 2005</stp>
        <stp>FQ4 2005</stp>
        <stp>[FA1_j2ahgkxc.xlsx]Bal Sheet - Standardized!R41C30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1" s="3"/>
      </tp>
      <tp>
        <v>0</v>
        <stp/>
        <stp>##V3_BDHV12</stp>
        <stp>AMZN US Equity</stp>
        <stp>INVTRY_RAW_MATERIALS</stp>
        <stp>FQ4 1999</stp>
        <stp>FQ4 1999</stp>
        <stp>[FA1_j2ahgkxc.xlsx]Bal Sheet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3"/>
      </tp>
      <tp>
        <v>193</v>
        <stp/>
        <stp>##V3_BDHV12</stp>
        <stp>AMZN US Equity</stp>
        <stp>BS_GOODWILL</stp>
        <stp>FQ1 2006</stp>
        <stp>FQ1 2006</stp>
        <stp>[FA1_j2ahgkxc.xlsx]Bal Sheet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3"/>
      </tp>
      <tp>
        <v>70.811000000000007</v>
        <stp/>
        <stp>##V3_BDHV12</stp>
        <stp>AMZN US Equity</stp>
        <stp>BS_GOODWILL</stp>
        <stp>FQ3 2002</stp>
        <stp>FQ3 2002</stp>
        <stp>[FA1_j2ahgkxc.xlsx]Bal Sheet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3"/>
      </tp>
      <tp t="s">
        <v>—</v>
        <stp/>
        <stp>##V3_BDHV12</stp>
        <stp>AMZN US Equity</stp>
        <stp>BS_CURR_RENTAL_EXPENSE</stp>
        <stp>FQ2 2002</stp>
        <stp>FQ2 2002</stp>
        <stp>[FA1_j2ahgkxc.xlsx]Income - Adjusted!R58C16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8" s="2"/>
      </tp>
      <tp>
        <v>62.787999999999997</v>
        <stp/>
        <stp>##V3_BDHV12</stp>
        <stp>AMZN US Equity</stp>
        <stp>BS_GOODWILL</stp>
        <stp>FQ3 2001</stp>
        <stp>FQ3 2001</stp>
        <stp>[FA1_j2ahgkxc.xlsx]Bal Sheet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3"/>
      </tp>
      <tp>
        <v>392</v>
        <stp/>
        <stp>##V3_BDHV12</stp>
        <stp>AMZN US Equity</stp>
        <stp>BS_GOODWILL</stp>
        <stp>FQ1 2008</stp>
        <stp>FQ1 2008</stp>
        <stp>[FA1_j2ahgkxc.xlsx]Bal Sheet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3"/>
      </tp>
      <tp>
        <v>21</v>
        <stp/>
        <stp>##V3_BDHV12</stp>
        <stp>AMZN US Equity</stp>
        <stp>BS_CURR_RENTAL_EXPENSE</stp>
        <stp>FQ4 2006</stp>
        <stp>FQ4 2006</stp>
        <stp>[FA1_j2ahgkxc.xlsx]Income - Adjusted!R58C34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8" s="2"/>
      </tp>
      <tp>
        <v>196</v>
        <stp/>
        <stp>##V3_BDHV12</stp>
        <stp>AMZN US Equity</stp>
        <stp>BS_GOODWILL</stp>
        <stp>FQ1 2007</stp>
        <stp>FQ1 2007</stp>
        <stp>[FA1_j2ahgkxc.xlsx]Bal Sheet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3"/>
      </tp>
      <tp>
        <v>2121</v>
        <stp/>
        <stp>##V3_BDHV12</stp>
        <stp>AMZN US Equity</stp>
        <stp>BS_CUR_ASSET_REPORT</stp>
        <stp>FQ3 2005</stp>
        <stp>FQ3 2005</stp>
        <stp>[FA1_j2ahgkxc.xlsx]Bal Sheet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3"/>
      </tp>
      <tp t="s">
        <v>—</v>
        <stp/>
        <stp>##V3_BDHV12</stp>
        <stp>AMZN US Equity</stp>
        <stp>BS_CURR_RENTAL_EXPENSE</stp>
        <stp>FQ1 2001</stp>
        <stp>FQ1 2001</stp>
        <stp>[FA1_j2ahgkxc.xlsx]Income - Adjusted!R58C11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8" s="2"/>
      </tp>
      <tp>
        <v>-195.87299999999999</v>
        <stp/>
        <stp>##V3_BDHV12</stp>
        <stp>AMZN US Equity</stp>
        <stp>EBIT</stp>
        <stp>FQ1 2000</stp>
        <stp>FQ1 2000</stp>
        <stp>[FA1_j2ahgkxc.xlsx]Income - Adjusted!R49C8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9" s="2"/>
      </tp>
      <tp>
        <v>1410.2</v>
        <stp/>
        <stp>##V3_BDHV12</stp>
        <stp>AMZN US Equity</stp>
        <stp>BS_CUR_ASSET_REPORT</stp>
        <stp>FQ3 2003</stp>
        <stp>FQ3 2003</stp>
        <stp>[FA1_j2ahgkxc.xlsx]Bal Sheet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3"/>
      </tp>
      <tp>
        <v>1692.7841000000001</v>
        <stp/>
        <stp>##V3_BDHV12</stp>
        <stp>AMZN US Equity</stp>
        <stp>BS_CUR_ASSET_REPORT</stp>
        <stp>FQ3 2004</stp>
        <stp>FQ3 2004</stp>
        <stp>[FA1_j2ahgkxc.xlsx]Bal Sheet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3"/>
      </tp>
      <tp>
        <v>2859</v>
        <stp/>
        <stp>##V3_BDHV12</stp>
        <stp>AMZN US Equity</stp>
        <stp>BS_CUR_ASSET_REPORT</stp>
        <stp>FQ2 2007</stp>
        <stp>FQ2 2007</stp>
        <stp>[FA1_j2ahgkxc.xlsx]Bal Sheet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3"/>
      </tp>
      <tp>
        <v>2231</v>
        <stp/>
        <stp>##V3_BDHV12</stp>
        <stp>AMZN US Equity</stp>
        <stp>BS_CUR_ASSET_REPORT</stp>
        <stp>FQ2 2006</stp>
        <stp>FQ2 2006</stp>
        <stp>[FA1_j2ahgkxc.xlsx]Bal Sheet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3"/>
      </tp>
      <tp t="s">
        <v>—</v>
        <stp/>
        <stp>##V3_BDHV12</stp>
        <stp>AMZN US Equity</stp>
        <stp>IS_CAP_INT_EXP</stp>
        <stp>FQ3 2007</stp>
        <stp>FQ3 2007</stp>
        <stp>[FA1_j2ahgkxc.xlsx]Income - Adjusted!R56C37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6" s="2"/>
      </tp>
      <tp t="s">
        <v>—</v>
        <stp/>
        <stp>##V3_BDHV12</stp>
        <stp>AMZN US Equity</stp>
        <stp>IS_CAP_INT_EXP</stp>
        <stp>FQ1 2004</stp>
        <stp>FQ1 2004</stp>
        <stp>[FA1_j2ahgkxc.xlsx]Income - Adjusted!R56C23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6" s="2"/>
      </tp>
      <tp>
        <v>0</v>
        <stp/>
        <stp>##V3_BDHV12</stp>
        <stp>AMZN US Equity</stp>
        <stp>IS_CAP_INT_EXP</stp>
        <stp>FQ2 2006</stp>
        <stp>FQ2 2006</stp>
        <stp>[FA1_j2ahgkxc.xlsx]Income - Adjusted!R56C32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6" s="2"/>
      </tp>
      <tp t="s">
        <v>—</v>
        <stp/>
        <stp>##V3_BDHV12</stp>
        <stp>AMZN US Equity</stp>
        <stp>IS_CAP_INT_EXP</stp>
        <stp>FQ4 2002</stp>
        <stp>FQ4 2002</stp>
        <stp>[FA1_j2ahgkxc.xlsx]Income - Adjusted!R56C18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6" s="2"/>
      </tp>
      <tp>
        <v>83.358999999999995</v>
        <stp/>
        <stp>##V3_BDHV12</stp>
        <stp>AMZN US Equity</stp>
        <stp>NON_CASH_ITEMS_DETAILED</stp>
        <stp>FQ4 2002</stp>
        <stp>FQ4 2002</stp>
        <stp>[FA1_j2ahgkxc.xlsx]Cash Flow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4"/>
      </tp>
      <tp>
        <v>54.366</v>
        <stp/>
        <stp>##V3_BDHV12</stp>
        <stp>AMZN US Equity</stp>
        <stp>NON_CASH_ITEMS_DETAILED</stp>
        <stp>FQ1 2003</stp>
        <stp>FQ1 2003</stp>
        <stp>[FA1_j2ahgkxc.xlsx]Cash Flow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4"/>
      </tp>
      <tp>
        <v>56</v>
        <stp/>
        <stp>##V3_BDHV12</stp>
        <stp>AMZN US Equity</stp>
        <stp>IS_INC_TAX_EXP</stp>
        <stp>FQ1 2005</stp>
        <stp>FQ1 2005</stp>
        <stp>[FA1_j2ahgkxc.xlsx]Income - Adjusted!R21C27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1" s="2"/>
      </tp>
      <tp>
        <v>33</v>
        <stp/>
        <stp>##V3_BDHV12</stp>
        <stp>AMZN US Equity</stp>
        <stp>IS_INC_TAX_EXP</stp>
        <stp>FQ1 2007</stp>
        <stp>FQ1 2007</stp>
        <stp>[FA1_j2ahgkxc.xlsx]Income - Adjusted!R21C35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1" s="2"/>
      </tp>
      <tp>
        <v>0</v>
        <stp/>
        <stp>##V3_BDHV12</stp>
        <stp>AMZN US Equity</stp>
        <stp>IS_INC_TAX_EXP</stp>
        <stp>FQ3 2003</stp>
        <stp>FQ3 2003</stp>
        <stp>[FA1_j2ahgkxc.xlsx]Income - Adjusted!R21C21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1" s="2"/>
      </tp>
      <tp>
        <v>0</v>
        <stp/>
        <stp>##V3_BDHV12</stp>
        <stp>AMZN US Equity</stp>
        <stp>IS_INC_TAX_EXP</stp>
        <stp>FQ3 2001</stp>
        <stp>FQ3 2001</stp>
        <stp>[FA1_j2ahgkxc.xlsx]Income - Adjusted!R21C13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1" s="2"/>
      </tp>
      <tp>
        <v>-232.58099999999999</v>
        <stp/>
        <stp>##V3_BDHV12</stp>
        <stp>AMZN US Equity</stp>
        <stp>IS_INC_TAX_EXP</stp>
        <stp>FQ4 2004</stp>
        <stp>FQ4 2004</stp>
        <stp>[FA1_j2ahgkxc.xlsx]Income - Adjusted!R21C26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1" s="2"/>
      </tp>
      <tp>
        <v>91</v>
        <stp/>
        <stp>##V3_BDHV12</stp>
        <stp>AMZN US Equity</stp>
        <stp>IS_INC_TAX_EXP</stp>
        <stp>FQ4 2006</stp>
        <stp>FQ4 2006</stp>
        <stp>[FA1_j2ahgkxc.xlsx]Income - Adjusted!R21C34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1" s="2"/>
      </tp>
      <tp>
        <v>13.052</v>
        <stp/>
        <stp>##V3_BDHV12</stp>
        <stp>AMZN US Equity</stp>
        <stp>NON_CASH_ITEMS_DETAILED</stp>
        <stp>FQ1 2002</stp>
        <stp>FQ1 2002</stp>
        <stp>[FA1_j2ahgkxc.xlsx]Cash Flow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4"/>
      </tp>
      <tp>
        <v>94.796999999999997</v>
        <stp/>
        <stp>##V3_BDHV12</stp>
        <stp>AMZN US Equity</stp>
        <stp>NON_CASH_ITEMS_DETAILED</stp>
        <stp>FQ2 2002</stp>
        <stp>FQ2 2002</stp>
        <stp>[FA1_j2ahgkxc.xlsx]Cash Flow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4"/>
      </tp>
      <tp>
        <v>4.7249999999999996</v>
        <stp/>
        <stp>##V3_BDHV12</stp>
        <stp>AMZN US Equity</stp>
        <stp>NON_CASH_ITEMS_DETAILED</stp>
        <stp>FQ3 2002</stp>
        <stp>FQ3 2002</stp>
        <stp>[FA1_j2ahgkxc.xlsx]Cash Flow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4"/>
      </tp>
      <tp>
        <v>326.30200000000002</v>
        <stp/>
        <stp>##V3_BDHV12</stp>
        <stp>AMZN US Equity</stp>
        <stp>NON_CASH_ITEMS_DETAILED</stp>
        <stp>FQ4 2000</stp>
        <stp>FQ4 2000</stp>
        <stp>[FA1_j2ahgkxc.xlsx]Cash Flow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4"/>
      </tp>
      <tp>
        <v>43.304000000000002</v>
        <stp/>
        <stp>##V3_BDHV12</stp>
        <stp>AMZN US Equity</stp>
        <stp>NON_CASH_ITEMS_DETAILED</stp>
        <stp>FQ3 2001</stp>
        <stp>FQ3 2001</stp>
        <stp>[FA1_j2ahgkxc.xlsx]Cash Flow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4"/>
      </tp>
      <tp>
        <v>-17.132000000000001</v>
        <stp/>
        <stp>##V3_BDHV12</stp>
        <stp>AMZN US Equity</stp>
        <stp>NON_CASH_ITEMS_DETAILED</stp>
        <stp>FQ2 2001</stp>
        <stp>FQ2 2001</stp>
        <stp>[FA1_j2ahgkxc.xlsx]Cash Flow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4"/>
      </tp>
      <tp>
        <v>27.968</v>
        <stp/>
        <stp>##V3_BDHV12</stp>
        <stp>AMZN US Equity</stp>
        <stp>NON_CASH_ITEMS_DETAILED</stp>
        <stp>FQ1 2001</stp>
        <stp>FQ1 2001</stp>
        <stp>[FA1_j2ahgkxc.xlsx]Cash Flow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4"/>
      </tp>
      <tp>
        <v>92.075000000000003</v>
        <stp/>
        <stp>##V3_BDHV12</stp>
        <stp>AMZN US Equity</stp>
        <stp>NON_CASH_ITEMS_DETAILED</stp>
        <stp>FQ4 2001</stp>
        <stp>FQ4 2001</stp>
        <stp>[FA1_j2ahgkxc.xlsx]Cash Flow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4"/>
      </tp>
      <tp>
        <v>318.53399999999999</v>
        <stp/>
        <stp>##V3_BDHV12</stp>
        <stp>AMZN US Equity</stp>
        <stp>BS_SH_OUT</stp>
        <stp>FQ4 1998</stp>
        <stp>FQ4 1998</stp>
        <stp>[FA1_j2ahgkxc.xlsx]Bal Sheet - Standardized!R59C3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9" s="3"/>
      </tp>
      <tp>
        <v>336.30599999999998</v>
        <stp/>
        <stp>##V3_BDHV12</stp>
        <stp>AMZN US Equity</stp>
        <stp>BS_SH_OUT</stp>
        <stp>FQ2 1999</stp>
        <stp>FQ2 1999</stp>
        <stp>[FA1_j2ahgkxc.xlsx]Bal Sheet - Standardized!R59C5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9" s="3"/>
      </tp>
      <tp>
        <v>2.6257000000000001</v>
        <stp/>
        <stp>##V3_BDHV12</stp>
        <stp>AMZN US Equity</stp>
        <stp>CUR_RATIO</stp>
        <stp>FQ4 1998</stp>
        <stp>FQ4 1998</stp>
        <stp>[FA1_j2ahgkxc.xlsx]Bal Sheet - Standardized!R68C3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8" s="3"/>
      </tp>
      <tp>
        <v>4.5222999999999995</v>
        <stp/>
        <stp>##V3_BDHV12</stp>
        <stp>AMZN US Equity</stp>
        <stp>CUR_RATIO</stp>
        <stp>FQ2 1999</stp>
        <stp>FQ2 1999</stp>
        <stp>[FA1_j2ahgkxc.xlsx]Bal Sheet - Standardized!R68C5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8" s="3"/>
      </tp>
      <tp>
        <v>305.71100000000001</v>
        <stp/>
        <stp>##V3_BDHV12</stp>
        <stp>AMZN US Equity</stp>
        <stp>EQY_FLOAT</stp>
        <stp>FQ2 2005</stp>
        <stp>FQ2 2005</stp>
        <stp>[FA1_j2ahgkxc.xlsx]Stock Value!R14C28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4" s="6"/>
      </tp>
      <tp>
        <v>306.79199999999997</v>
        <stp/>
        <stp>##V3_BDHV12</stp>
        <stp>AMZN US Equity</stp>
        <stp>EQY_FLOAT</stp>
        <stp>FQ3 2005</stp>
        <stp>FQ3 2005</stp>
        <stp>[FA1_j2ahgkxc.xlsx]Stock Value!R14C29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4" s="6"/>
      </tp>
      <tp t="s">
        <v>—</v>
        <stp/>
        <stp>##V3_BDHV12</stp>
        <stp>AMZN US Equity</stp>
        <stp>LONG_TERM_BORROWINGS_DETAILED</stp>
        <stp>FQ2 2008</stp>
        <stp>FQ2 2008</stp>
        <stp>[FA1_j2ahgkxc.xlsx]Bal Sheet - Standardized!R41C40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1" s="3"/>
      </tp>
      <tp>
        <v>1854.8040000000001</v>
        <stp/>
        <stp>##V3_BDHV12</stp>
        <stp>AMZN US Equity</stp>
        <stp>LONG_TERM_BORROWINGS_DETAILED</stp>
        <stp>FQ4 2004</stp>
        <stp>FQ4 2004</stp>
        <stp>[FA1_j2ahgkxc.xlsx]Bal Sheet - Standardized!R41C26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1" s="3"/>
      </tp>
      <tp t="s">
        <v>—</v>
        <stp/>
        <stp>##V3_BDHV12</stp>
        <stp>AMZN US Equity</stp>
        <stp>LONG_TERM_BORROWINGS_DETAILED</stp>
        <stp>FQ4 2003</stp>
        <stp>FQ4 2003</stp>
        <stp>[FA1_j2ahgkxc.xlsx]Bal Sheet - Standardized!R41C22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1" s="3"/>
      </tp>
      <tp>
        <v>-7.6862000000000004</v>
        <stp/>
        <stp>##V3_BDHV12</stp>
        <stp>AMZN US Equity</stp>
        <stp>EBITDA_MARGIN</stp>
        <stp>FQ4 1999</stp>
        <stp>FQ4 1999</stp>
        <stp>[FA1_j2ahgkxc.xlsx]Cash Flow - Standardized!R46C6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46" s="4"/>
      </tp>
      <tp>
        <v>0</v>
        <stp/>
        <stp>##V3_BDHV12</stp>
        <stp>AMZN US Equity</stp>
        <stp>BS_OTHER_INV</stp>
        <stp>FQ1 2000</stp>
        <stp>FQ1 2000</stp>
        <stp>[FA1_j2ahgkxc.xlsx]Bal Sheet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3"/>
      </tp>
      <tp>
        <v>0</v>
        <stp/>
        <stp>##V3_BDHV12</stp>
        <stp>AMZN US Equity</stp>
        <stp>BS_OTHER_INV</stp>
        <stp>FQ3 2000</stp>
        <stp>FQ3 2000</stp>
        <stp>[FA1_j2ahgkxc.xlsx]Bal Sheet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3"/>
      </tp>
      <tp t="s">
        <v>—</v>
        <stp/>
        <stp>##V3_BDHV12</stp>
        <stp>AMZN US Equity</stp>
        <stp>BS_CURR_RENTAL_EXPENSE</stp>
        <stp>FQ3 2002</stp>
        <stp>FQ3 2002</stp>
        <stp>[FA1_j2ahgkxc.xlsx]Income - Adjusted!R58C17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8" s="2"/>
      </tp>
      <tp>
        <v>1344.4960000000001</v>
        <stp/>
        <stp>##V3_BDHV12</stp>
        <stp>AMZN US Equity</stp>
        <stp>BS_CUR_ASSET_REPORT</stp>
        <stp>FQ1 2003</stp>
        <stp>FQ1 2003</stp>
        <stp>[FA1_j2ahgkxc.xlsx]Bal Sheet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3"/>
      </tp>
      <tp>
        <v>69.120999999999995</v>
        <stp/>
        <stp>##V3_BDHV12</stp>
        <stp>AMZN US Equity</stp>
        <stp>BS_GOODWILL</stp>
        <stp>FQ1 2004</stp>
        <stp>FQ1 2004</stp>
        <stp>[FA1_j2ahgkxc.xlsx]Bal Sheet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3"/>
      </tp>
      <tp>
        <v>70.811000000000007</v>
        <stp/>
        <stp>##V3_BDHV12</stp>
        <stp>AMZN US Equity</stp>
        <stp>BS_GOODWILL</stp>
        <stp>FQ2 2002</stp>
        <stp>FQ2 2002</stp>
        <stp>[FA1_j2ahgkxc.xlsx]Bal Sheet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3"/>
      </tp>
      <tp>
        <v>89.001999999999995</v>
        <stp/>
        <stp>##V3_BDHV12</stp>
        <stp>AMZN US Equity</stp>
        <stp>BS_GOODWILL</stp>
        <stp>FQ2 2001</stp>
        <stp>FQ2 2001</stp>
        <stp>[FA1_j2ahgkxc.xlsx]Bal Sheet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3"/>
      </tp>
      <tp>
        <v>6157</v>
        <stp/>
        <stp>##V3_BDHV12</stp>
        <stp>AMZN US Equity</stp>
        <stp>BS_CUR_ASSET_REPORT</stp>
        <stp>FQ4 2008</stp>
        <stp>FQ4 2008</stp>
        <stp>[FA1_j2ahgkxc.xlsx]Bal Sheet - Standardized!R18C42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3"/>
      </tp>
      <tp>
        <v>149</v>
        <stp/>
        <stp>##V3_BDHV12</stp>
        <stp>AMZN US Equity</stp>
        <stp>BS_GOODWILL</stp>
        <stp>FQ1 2005</stp>
        <stp>FQ1 2005</stp>
        <stp>[FA1_j2ahgkxc.xlsx]Bal Sheet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3"/>
      </tp>
      <tp>
        <v>1926</v>
        <stp/>
        <stp>##V3_BDHV12</stp>
        <stp>AMZN US Equity</stp>
        <stp>BS_CUR_ASSET_REPORT</stp>
        <stp>FQ2 2005</stp>
        <stp>FQ2 2005</stp>
        <stp>[FA1_j2ahgkxc.xlsx]Bal Sheet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3"/>
      </tp>
      <tp>
        <v>39</v>
        <stp/>
        <stp>##V3_BDHV12</stp>
        <stp>AMZN US Equity</stp>
        <stp>BS_CURR_RENTAL_EXPENSE</stp>
        <stp>FQ4 2007</stp>
        <stp>FQ4 2007</stp>
        <stp>[FA1_j2ahgkxc.xlsx]Income - Adjusted!R58C38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8" s="2"/>
      </tp>
      <tp>
        <v>855.71</v>
        <stp/>
        <stp>##V3_BDHV12</stp>
        <stp>AMZN US Equity</stp>
        <stp>BS_CUR_ASSET_REPORT</stp>
        <stp>FQ1 2001</stp>
        <stp>FQ1 2001</stp>
        <stp>[FA1_j2ahgkxc.xlsx]Bal Sheet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3"/>
      </tp>
      <tp>
        <v>1251.2539999999999</v>
        <stp/>
        <stp>##V3_BDHV12</stp>
        <stp>AMZN US Equity</stp>
        <stp>BS_CUR_ASSET_REPORT</stp>
        <stp>FQ2 2003</stp>
        <stp>FQ2 2003</stp>
        <stp>[FA1_j2ahgkxc.xlsx]Bal Sheet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3"/>
      </tp>
      <tp>
        <v>1561.192</v>
        <stp/>
        <stp>##V3_BDHV12</stp>
        <stp>AMZN US Equity</stp>
        <stp>BS_CUR_ASSET_REPORT</stp>
        <stp>FQ2 2004</stp>
        <stp>FQ2 2004</stp>
        <stp>[FA1_j2ahgkxc.xlsx]Bal Sheet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3"/>
      </tp>
      <tp>
        <v>3424</v>
        <stp/>
        <stp>##V3_BDHV12</stp>
        <stp>AMZN US Equity</stp>
        <stp>BS_CUR_ASSET_REPORT</stp>
        <stp>FQ3 2007</stp>
        <stp>FQ3 2007</stp>
        <stp>[FA1_j2ahgkxc.xlsx]Bal Sheet - Standardized!R18C37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3"/>
      </tp>
      <tp>
        <v>954.27300000000002</v>
        <stp/>
        <stp>##V3_BDHV12</stp>
        <stp>AMZN US Equity</stp>
        <stp>BS_CUR_ASSET_REPORT</stp>
        <stp>FQ1 2002</stp>
        <stp>FQ1 2002</stp>
        <stp>[FA1_j2ahgkxc.xlsx]Bal Sheet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3"/>
      </tp>
      <tp>
        <v>2315</v>
        <stp/>
        <stp>##V3_BDHV12</stp>
        <stp>AMZN US Equity</stp>
        <stp>BS_CUR_ASSET_REPORT</stp>
        <stp>FQ3 2006</stp>
        <stp>FQ3 2006</stp>
        <stp>[FA1_j2ahgkxc.xlsx]Bal Sheet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3"/>
      </tp>
      <tp t="s">
        <v>—</v>
        <stp/>
        <stp>##V3_BDHV12</stp>
        <stp>AMZN US Equity</stp>
        <stp>IS_CAP_INT_EXP</stp>
        <stp>FQ1 2005</stp>
        <stp>FQ1 2005</stp>
        <stp>[FA1_j2ahgkxc.xlsx]Income - Adjusted!R56C27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6" s="2"/>
      </tp>
      <tp t="s">
        <v>—</v>
        <stp/>
        <stp>##V3_BDHV12</stp>
        <stp>AMZN US Equity</stp>
        <stp>IS_CAP_INT_EXP</stp>
        <stp>FQ2 2007</stp>
        <stp>FQ2 2007</stp>
        <stp>[FA1_j2ahgkxc.xlsx]Income - Adjusted!R56C36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6" s="2"/>
      </tp>
      <tp>
        <v>0</v>
        <stp/>
        <stp>##V3_BDHV12</stp>
        <stp>AMZN US Equity</stp>
        <stp>IS_CAP_INT_EXP</stp>
        <stp>FQ3 2006</stp>
        <stp>FQ3 2006</stp>
        <stp>[FA1_j2ahgkxc.xlsx]Income - Adjusted!R56C33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6" s="2"/>
      </tp>
      <tp>
        <v>-9.5129999999999999</v>
        <stp/>
        <stp>##V3_BDHV12</stp>
        <stp>AMZN US Equity</stp>
        <stp>CHG_IN_FXD_&amp;_INTANG_AST_DETAILED</stp>
        <stp>FQ1 2004</stp>
        <stp>FQ1 2004</stp>
        <stp>[FA1_j2ahgkxc.xlsx]Cash Flow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4"/>
      </tp>
      <tp>
        <v>-7.44</v>
        <stp/>
        <stp>##V3_BDHV12</stp>
        <stp>AMZN US Equity</stp>
        <stp>CHG_IN_FXD_&amp;_INTANG_AST_DETAILED</stp>
        <stp>FQ2 2002</stp>
        <stp>FQ2 2002</stp>
        <stp>[FA1_j2ahgkxc.xlsx]Cash Flow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4"/>
      </tp>
      <tp>
        <v>-10.425000000000001</v>
        <stp/>
        <stp>##V3_BDHV12</stp>
        <stp>AMZN US Equity</stp>
        <stp>CHG_IN_FXD_&amp;_INTANG_AST_DETAILED</stp>
        <stp>FQ2 2001</stp>
        <stp>FQ2 2001</stp>
        <stp>[FA1_j2ahgkxc.xlsx]Cash Flow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4"/>
      </tp>
      <tp>
        <v>-26</v>
        <stp/>
        <stp>##V3_BDHV12</stp>
        <stp>AMZN US Equity</stp>
        <stp>CHG_IN_FXD_&amp;_INTANG_AST_DETAILED</stp>
        <stp>FQ1 2005</stp>
        <stp>FQ1 2005</stp>
        <stp>[FA1_j2ahgkxc.xlsx]Cash Flow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4"/>
      </tp>
      <tp>
        <v>0</v>
        <stp/>
        <stp>##V3_BDHV12</stp>
        <stp>AMZN US Equity</stp>
        <stp>IS_INC_TAX_EXP</stp>
        <stp>FQ3 2002</stp>
        <stp>FQ3 2002</stp>
        <stp>[FA1_j2ahgkxc.xlsx]Income - Adjusted!R21C17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1" s="2"/>
      </tp>
      <tp>
        <v>19</v>
        <stp/>
        <stp>##V3_BDHV12</stp>
        <stp>AMZN US Equity</stp>
        <stp>IS_INC_TAX_EXP</stp>
        <stp>FQ3 2006</stp>
        <stp>FQ3 2006</stp>
        <stp>[FA1_j2ahgkxc.xlsx]Income - Adjusted!R21C33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1" s="2"/>
      </tp>
      <tp>
        <v>-38</v>
        <stp/>
        <stp>##V3_BDHV12</stp>
        <stp>AMZN US Equity</stp>
        <stp>IS_INC_TAX_EXP</stp>
        <stp>FQ4 2005</stp>
        <stp>FQ4 2005</stp>
        <stp>[FA1_j2ahgkxc.xlsx]Income - Adjusted!R21C30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1" s="2"/>
      </tp>
      <tp>
        <v>0</v>
        <stp/>
        <stp>##V3_BDHV12</stp>
        <stp>AMZN US Equity</stp>
        <stp>IS_INC_TAX_EXP</stp>
        <stp>FQ4 2001</stp>
        <stp>FQ4 2001</stp>
        <stp>[FA1_j2ahgkxc.xlsx]Income - Adjusted!R21C14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1" s="2"/>
      </tp>
      <tp>
        <v>177</v>
        <stp/>
        <stp>##V3_BDHV12</stp>
        <stp>AMZN US Equity</stp>
        <stp>PRETAX_INC</stp>
        <stp>FQ3 2008</stp>
        <stp>FQ3 2008</stp>
        <stp>[FA1_j2ahgkxc.xlsx]Income - Adjusted!R17C41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7" s="2"/>
      </tp>
      <tp>
        <v>-0.15</v>
        <stp/>
        <stp>##V3_BDHV12</stp>
        <stp>AMZN US Equity</stp>
        <stp>IS_DIL_EPS_BEF_XO</stp>
        <stp>FQ4 1998</stp>
        <stp>FQ4 1998</stp>
        <stp>[FA1_j2ahgkxc.xlsx]Per Share!R18C3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8" s="5"/>
      </tp>
      <tp>
        <v>417</v>
        <stp/>
        <stp>##V3_BDHV12</stp>
        <stp>AMZN US Equity</stp>
        <stp>BS_SH_OUT</stp>
        <stp>FQ1 2008</stp>
        <stp>FQ1 2008</stp>
        <stp>[FA1_j2ahgkxc.xlsx]Per Share!R6C39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5"/>
      </tp>
      <tp>
        <v>1512.3</v>
        <stp/>
        <stp>##V3_BDHV12</stp>
        <stp>AMZN US Equity</stp>
        <stp>LONG_TERM_BORROWINGS_DETAILED</stp>
        <stp>FQ3 2005</stp>
        <stp>FQ3 2005</stp>
        <stp>[FA1_j2ahgkxc.xlsx]Bal Sheet - Standardized!R41C29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1" s="3"/>
      </tp>
      <tp t="s">
        <v>—</v>
        <stp/>
        <stp>##V3_BDHV12</stp>
        <stp>AMZN US Equity</stp>
        <stp>LONG_TERM_BORROWINGS_DETAILED</stp>
        <stp>FQ2 2006</stp>
        <stp>FQ2 2006</stp>
        <stp>[FA1_j2ahgkxc.xlsx]Bal Sheet - Standardized!R41C32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1" s="3"/>
      </tp>
      <tp t="s">
        <v>—</v>
        <stp/>
        <stp>##V3_BDHV12</stp>
        <stp>AMZN US Equity</stp>
        <stp>LONG_TERM_BORROWINGS_DETAILED</stp>
        <stp>FQ2 2007</stp>
        <stp>FQ2 2007</stp>
        <stp>[FA1_j2ahgkxc.xlsx]Bal Sheet - Standardized!R41C36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1" s="3"/>
      </tp>
      <tp t="s">
        <v>—</v>
        <stp/>
        <stp>##V3_BDHV12</stp>
        <stp>AMZN US Equity</stp>
        <stp>LONG_TERM_BORROWINGS_DETAILED</stp>
        <stp>FQ3 2004</stp>
        <stp>FQ3 2004</stp>
        <stp>[FA1_j2ahgkxc.xlsx]Bal Sheet - Standardized!R41C25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1" s="3"/>
      </tp>
      <tp t="s">
        <v>—</v>
        <stp/>
        <stp>##V3_BDHV12</stp>
        <stp>AMZN US Equity</stp>
        <stp>IS_INT_INC</stp>
        <stp>FQ2 1999</stp>
        <stp>FQ2 1999</stp>
        <stp>[FA1_j2ahgkxc.xlsx]Income - Adjusted!R15C5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5" s="2"/>
      </tp>
      <tp t="s">
        <v>—</v>
        <stp/>
        <stp>##V3_BDHV12</stp>
        <stp>AMZN US Equity</stp>
        <stp>LONG_TERM_BORROWINGS_DETAILED</stp>
        <stp>FQ3 2003</stp>
        <stp>FQ3 2003</stp>
        <stp>[FA1_j2ahgkxc.xlsx]Bal Sheet - Standardized!R41C21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1" s="3"/>
      </tp>
      <tp>
        <v>812.97699999999998</v>
        <stp/>
        <stp>##V3_BDHV12</stp>
        <stp>AMZN US Equity</stp>
        <stp>IS_COGS_TO_FE_AND_PP_AND_G</stp>
        <stp>FQ1 2003</stp>
        <stp>FQ1 2003</stp>
        <stp>[FA1_j2ahgkxc.xlsx]Income - Adjusted!R7C19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7" s="2"/>
      </tp>
      <tp>
        <v>4503</v>
        <stp/>
        <stp>##V3_BDHV12</stp>
        <stp>AMZN US Equity</stp>
        <stp>IS_COGS_TO_FE_AND_PP_AND_G</stp>
        <stp>FQ4 2007</stp>
        <stp>FQ4 2007</stp>
        <stp>[FA1_j2ahgkxc.xlsx]Income - Adjusted!R7C38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7" s="2"/>
      </tp>
      <tp>
        <v>-18.706</v>
        <stp/>
        <stp>##V3_BDHV12</stp>
        <stp>AMZN US Equity</stp>
        <stp>EBITDA_MARGIN</stp>
        <stp>FQ3 1999</stp>
        <stp>FQ3 1999</stp>
        <stp>[FA1_j2ahgkxc.xlsx]Cash Flow - Standardized!R46C5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46" s="4"/>
      </tp>
      <tp>
        <v>445.755</v>
        <stp/>
        <stp>##V3_BDHV12</stp>
        <stp>AMZN US Equity</stp>
        <stp>IS_COGS_TO_FE_AND_PP_AND_G</stp>
        <stp>FQ1 2000</stp>
        <stp>FQ1 2000</stp>
        <stp>[FA1_j2ahgkxc.xlsx]Income - Adjusted!R7C8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-5.1215999999999999</v>
        <stp/>
        <stp>##V3_BDHV12</stp>
        <stp>AMZN US Equity</stp>
        <stp>EBITDA_MARGIN</stp>
        <stp>FQ3 2000</stp>
        <stp>FQ3 2000</stp>
        <stp>[FA1_j2ahgkxc.xlsx]Cash Flow - Standardized!R46C9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46" s="4"/>
      </tp>
      <tp t="s">
        <v>—</v>
        <stp/>
        <stp>##V3_BDHV12</stp>
        <stp>AMZN US Equity</stp>
        <stp>BS_CURR_RENTAL_EXPENSE</stp>
        <stp>FQ1 2004</stp>
        <stp>FQ1 2004</stp>
        <stp>[FA1_j2ahgkxc.xlsx]Income - Adjusted!R58C23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8" s="2"/>
      </tp>
      <tp>
        <v>4430</v>
        <stp/>
        <stp>##V3_BDHV12</stp>
        <stp>AMZN US Equity</stp>
        <stp>BS_CUR_ASSET_REPORT</stp>
        <stp>FQ3 2008</stp>
        <stp>FQ3 2008</stp>
        <stp>[FA1_j2ahgkxc.xlsx]Bal Sheet - Standardized!R18C41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3"/>
      </tp>
      <tp>
        <v>5164</v>
        <stp/>
        <stp>##V3_BDHV12</stp>
        <stp>AMZN US Equity</stp>
        <stp>BS_CUR_ASSET_REPORT</stp>
        <stp>FQ4 2007</stp>
        <stp>FQ4 2007</stp>
        <stp>[FA1_j2ahgkxc.xlsx]Bal Sheet - Standardized!R18C38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3"/>
      </tp>
      <tp>
        <v>39</v>
        <stp/>
        <stp>##V3_BDHV12</stp>
        <stp>AMZN US Equity</stp>
        <stp>BS_CURR_RENTAL_EXPENSE</stp>
        <stp>FQ2 2006</stp>
        <stp>FQ2 2006</stp>
        <stp>[FA1_j2ahgkxc.xlsx]Income - Adjusted!R58C32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8" s="2"/>
      </tp>
      <tp>
        <v>35</v>
        <stp/>
        <stp>##V3_BDHV12</stp>
        <stp>AMZN US Equity</stp>
        <stp>BS_CURR_RENTAL_EXPENSE</stp>
        <stp>FQ3 2007</stp>
        <stp>FQ3 2007</stp>
        <stp>[FA1_j2ahgkxc.xlsx]Income - Adjusted!R58C37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8" s="2"/>
      </tp>
      <tp>
        <v>2929</v>
        <stp/>
        <stp>##V3_BDHV12</stp>
        <stp>AMZN US Equity</stp>
        <stp>BS_CUR_ASSET_REPORT</stp>
        <stp>FQ4 2005</stp>
        <stp>FQ4 2005</stp>
        <stp>[FA1_j2ahgkxc.xlsx]Bal Sheet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3"/>
      </tp>
      <tp t="s">
        <v>—</v>
        <stp/>
        <stp>##V3_BDHV12</stp>
        <stp>AMZN US Equity</stp>
        <stp>BS_CURR_RENTAL_EXPENSE</stp>
        <stp>FQ4 2002</stp>
        <stp>FQ4 2002</stp>
        <stp>[FA1_j2ahgkxc.xlsx]Income - Adjusted!R58C18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8" s="2"/>
      </tp>
      <tp>
        <v>3373</v>
        <stp/>
        <stp>##V3_BDHV12</stp>
        <stp>AMZN US Equity</stp>
        <stp>BS_CUR_ASSET_REPORT</stp>
        <stp>FQ4 2006</stp>
        <stp>FQ4 2006</stp>
        <stp>[FA1_j2ahgkxc.xlsx]Bal Sheet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3"/>
      </tp>
      <tp>
        <v>0</v>
        <stp/>
        <stp>##V3_BDHV12</stp>
        <stp>AMZN US Equity</stp>
        <stp>IS_CAP_INT_EXP</stp>
        <stp>FQ4 2006</stp>
        <stp>FQ4 2006</stp>
        <stp>[FA1_j2ahgkxc.xlsx]Income - Adjusted!R56C34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6" s="2"/>
      </tp>
      <tp t="s">
        <v>—</v>
        <stp/>
        <stp>##V3_BDHV12</stp>
        <stp>AMZN US Equity</stp>
        <stp>IS_CAP_INT_EXP</stp>
        <stp>FQ1 2001</stp>
        <stp>FQ1 2001</stp>
        <stp>[FA1_j2ahgkxc.xlsx]Income - Adjusted!R56C11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6" s="2"/>
      </tp>
      <tp>
        <v>416.81799999999998</v>
        <stp/>
        <stp>##V3_BDHV12</stp>
        <stp>AMZN US Equity</stp>
        <stp>EQY_SH_OUT</stp>
        <stp>FQ1 2008</stp>
        <stp>FQ1 2008</stp>
        <stp>[FA1_j2ahgkxc.xlsx]Stock Value!R13C39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3" s="6"/>
      </tp>
      <tp t="s">
        <v>—</v>
        <stp/>
        <stp>##V3_BDHV12</stp>
        <stp>AMZN US Equity</stp>
        <stp>IS_CAP_INT_EXP</stp>
        <stp>FQ2 2002</stp>
        <stp>FQ2 2002</stp>
        <stp>[FA1_j2ahgkxc.xlsx]Income - Adjusted!R56C16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6" s="2"/>
      </tp>
      <tp>
        <v>-1.04E-2</v>
        <stp/>
        <stp>##V3_BDHV12</stp>
        <stp>AMZN US Equity</stp>
        <stp>CASH_FLOW_PER_SH</stp>
        <stp>FQ3 2000</stp>
        <stp>FQ3 2000</stp>
        <stp>[FA1_j2ahgkxc.xlsx]Per Share!R22C9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2" s="5"/>
      </tp>
      <tp>
        <v>22.064499999999999</v>
        <stp/>
        <stp>##V3_BDHV12</stp>
        <stp>AMZN US Equity</stp>
        <stp>GROSS_MARGIN</stp>
        <stp>FQ1 1999</stp>
        <stp>FQ1 1999</stp>
        <stp>[FA1_j2ahgkxc.xlsx]Income - Adjusted!R50C4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0" s="2"/>
      </tp>
      <tp>
        <v>21.480899999999998</v>
        <stp/>
        <stp>##V3_BDHV12</stp>
        <stp>AMZN US Equity</stp>
        <stp>GROSS_MARGIN</stp>
        <stp>FQ2 1999</stp>
        <stp>FQ2 1999</stp>
        <stp>[FA1_j2ahgkxc.xlsx]Income - Adjusted!R50C5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0" s="2"/>
      </tp>
      <tp>
        <v>19.8093</v>
        <stp/>
        <stp>##V3_BDHV12</stp>
        <stp>AMZN US Equity</stp>
        <stp>GROSS_MARGIN</stp>
        <stp>FQ3 1999</stp>
        <stp>FQ3 1999</stp>
        <stp>[FA1_j2ahgkxc.xlsx]Income - Adjusted!R50C6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0" s="2"/>
      </tp>
      <tp>
        <v>12.994199999999999</v>
        <stp/>
        <stp>##V3_BDHV12</stp>
        <stp>AMZN US Equity</stp>
        <stp>GROSS_MARGIN</stp>
        <stp>FQ4 1999</stp>
        <stp>FQ4 1999</stp>
        <stp>[FA1_j2ahgkxc.xlsx]Income - Adjusted!R50C7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0" s="2"/>
      </tp>
      <tp>
        <v>388.24299999999999</v>
        <stp/>
        <stp>##V3_BDHV12</stp>
        <stp>AMZN US Equity</stp>
        <stp>EQY_SH_OUT</stp>
        <stp>FQ1 2003</stp>
        <stp>FQ1 2003</stp>
        <stp>[FA1_j2ahgkxc.xlsx]Stock Value!R13C19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3" s="6"/>
      </tp>
      <tp>
        <v>0.38</v>
        <stp/>
        <stp>##V3_BDHV12</stp>
        <stp>AMZN US Equity</stp>
        <stp>IS_EPS</stp>
        <stp>FQ2 2008</stp>
        <stp>FQ2 2008</stp>
        <stp>[FA1_j2ahgkxc.xlsx]Per Share!R14C40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4" s="5"/>
      </tp>
      <tp>
        <v>-0.25</v>
        <stp/>
        <stp>##V3_BDHV12</stp>
        <stp>AMZN US Equity</stp>
        <stp>IS_EPS</stp>
        <stp>FQ2 2002</stp>
        <stp>FQ2 2002</stp>
        <stp>[FA1_j2ahgkxc.xlsx]Per Share!R14C16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4" s="5"/>
      </tp>
      <tp>
        <v>-0.47</v>
        <stp/>
        <stp>##V3_BDHV12</stp>
        <stp>AMZN US Equity</stp>
        <stp>IS_EPS</stp>
        <stp>FQ2 2001</stp>
        <stp>FQ2 2001</stp>
        <stp>[FA1_j2ahgkxc.xlsx]Per Share!R14C12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4" s="5"/>
      </tp>
      <tp>
        <v>-0.11</v>
        <stp/>
        <stp>##V3_BDHV12</stp>
        <stp>AMZN US Equity</stp>
        <stp>IS_EPS</stp>
        <stp>FQ2 2003</stp>
        <stp>FQ2 2003</stp>
        <stp>[FA1_j2ahgkxc.xlsx]Per Share!R14C20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4" s="5"/>
      </tp>
      <tp>
        <v>0.19</v>
        <stp/>
        <stp>##V3_BDHV12</stp>
        <stp>AMZN US Equity</stp>
        <stp>IS_EPS</stp>
        <stp>FQ2 2004</stp>
        <stp>FQ2 2004</stp>
        <stp>[FA1_j2ahgkxc.xlsx]Per Share!R14C24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4" s="5"/>
      </tp>
      <tp>
        <v>0.13</v>
        <stp/>
        <stp>##V3_BDHV12</stp>
        <stp>AMZN US Equity</stp>
        <stp>IS_EPS</stp>
        <stp>FQ2 2005</stp>
        <stp>FQ2 2005</stp>
        <stp>[FA1_j2ahgkxc.xlsx]Per Share!R14C28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4" s="5"/>
      </tp>
      <tp>
        <v>0.19</v>
        <stp/>
        <stp>##V3_BDHV12</stp>
        <stp>AMZN US Equity</stp>
        <stp>IS_EPS</stp>
        <stp>FQ2 2007</stp>
        <stp>FQ2 2007</stp>
        <stp>[FA1_j2ahgkxc.xlsx]Per Share!R14C36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4" s="5"/>
      </tp>
      <tp>
        <v>0.05</v>
        <stp/>
        <stp>##V3_BDHV12</stp>
        <stp>AMZN US Equity</stp>
        <stp>IS_EPS</stp>
        <stp>FQ2 2006</stp>
        <stp>FQ2 2006</stp>
        <stp>[FA1_j2ahgkxc.xlsx]Per Share!R14C32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4" s="5"/>
      </tp>
      <tp>
        <v>0.28000000000000003</v>
        <stp/>
        <stp>##V3_BDHV12</stp>
        <stp>AMZN US Equity</stp>
        <stp>IS_EPS</stp>
        <stp>FQ3 2008</stp>
        <stp>FQ3 2008</stp>
        <stp>[FA1_j2ahgkxc.xlsx]Per Share!R14C41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4" s="5"/>
      </tp>
      <tp>
        <v>-0.09</v>
        <stp/>
        <stp>##V3_BDHV12</stp>
        <stp>AMZN US Equity</stp>
        <stp>IS_EPS</stp>
        <stp>FQ3 2002</stp>
        <stp>FQ3 2002</stp>
        <stp>[FA1_j2ahgkxc.xlsx]Per Share!R14C17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4" s="5"/>
      </tp>
      <tp>
        <v>0.04</v>
        <stp/>
        <stp>##V3_BDHV12</stp>
        <stp>AMZN US Equity</stp>
        <stp>IS_EPS</stp>
        <stp>FQ3 2003</stp>
        <stp>FQ3 2003</stp>
        <stp>[FA1_j2ahgkxc.xlsx]Per Share!R14C21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4" s="5"/>
      </tp>
      <tp>
        <v>-0.46</v>
        <stp/>
        <stp>##V3_BDHV12</stp>
        <stp>AMZN US Equity</stp>
        <stp>IS_EPS</stp>
        <stp>FQ3 2001</stp>
        <stp>FQ3 2001</stp>
        <stp>[FA1_j2ahgkxc.xlsx]Per Share!R14C13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4" s="5"/>
      </tp>
      <tp>
        <v>7.0000000000000007E-2</v>
        <stp/>
        <stp>##V3_BDHV12</stp>
        <stp>AMZN US Equity</stp>
        <stp>IS_EPS</stp>
        <stp>FQ3 2005</stp>
        <stp>FQ3 2005</stp>
        <stp>[FA1_j2ahgkxc.xlsx]Per Share!R14C29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4" s="5"/>
      </tp>
      <tp>
        <v>0.13</v>
        <stp/>
        <stp>##V3_BDHV12</stp>
        <stp>AMZN US Equity</stp>
        <stp>IS_EPS</stp>
        <stp>FQ3 2004</stp>
        <stp>FQ3 2004</stp>
        <stp>[FA1_j2ahgkxc.xlsx]Per Share!R14C25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4" s="5"/>
      </tp>
      <tp>
        <v>0.05</v>
        <stp/>
        <stp>##V3_BDHV12</stp>
        <stp>AMZN US Equity</stp>
        <stp>IS_EPS</stp>
        <stp>FQ3 2006</stp>
        <stp>FQ3 2006</stp>
        <stp>[FA1_j2ahgkxc.xlsx]Per Share!R14C33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4" s="5"/>
      </tp>
      <tp>
        <v>0.19</v>
        <stp/>
        <stp>##V3_BDHV12</stp>
        <stp>AMZN US Equity</stp>
        <stp>IS_EPS</stp>
        <stp>FQ3 2007</stp>
        <stp>FQ3 2007</stp>
        <stp>[FA1_j2ahgkxc.xlsx]Per Share!R14C37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4" s="5"/>
      </tp>
      <tp>
        <v>0.34</v>
        <stp/>
        <stp>##V3_BDHV12</stp>
        <stp>AMZN US Equity</stp>
        <stp>IS_EPS</stp>
        <stp>FQ1 2008</stp>
        <stp>FQ1 2008</stp>
        <stp>[FA1_j2ahgkxc.xlsx]Per Share!R14C39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4" s="5"/>
      </tp>
      <tp>
        <v>-0.66</v>
        <stp/>
        <stp>##V3_BDHV12</stp>
        <stp>AMZN US Equity</stp>
        <stp>IS_EPS</stp>
        <stp>FQ1 2001</stp>
        <stp>FQ1 2001</stp>
        <stp>[FA1_j2ahgkxc.xlsx]Per Share!R14C11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4" s="5"/>
      </tp>
      <tp>
        <v>-0.06</v>
        <stp/>
        <stp>##V3_BDHV12</stp>
        <stp>AMZN US Equity</stp>
        <stp>IS_EPS</stp>
        <stp>FQ1 2002</stp>
        <stp>FQ1 2002</stp>
        <stp>[FA1_j2ahgkxc.xlsx]Per Share!R14C15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4" s="5"/>
      </tp>
      <tp>
        <v>-0.03</v>
        <stp/>
        <stp>##V3_BDHV12</stp>
        <stp>AMZN US Equity</stp>
        <stp>IS_EPS</stp>
        <stp>FQ1 2003</stp>
        <stp>FQ1 2003</stp>
        <stp>[FA1_j2ahgkxc.xlsx]Per Share!R14C19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4" s="5"/>
      </tp>
      <tp>
        <v>0.12</v>
        <stp/>
        <stp>##V3_BDHV12</stp>
        <stp>AMZN US Equity</stp>
        <stp>IS_EPS</stp>
        <stp>FQ1 2006</stp>
        <stp>FQ1 2006</stp>
        <stp>[FA1_j2ahgkxc.xlsx]Per Share!R14C31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4" s="5"/>
      </tp>
      <tp>
        <v>0.27</v>
        <stp/>
        <stp>##V3_BDHV12</stp>
        <stp>AMZN US Equity</stp>
        <stp>IS_EPS</stp>
        <stp>FQ1 2007</stp>
        <stp>FQ1 2007</stp>
        <stp>[FA1_j2ahgkxc.xlsx]Per Share!R14C35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4" s="5"/>
      </tp>
      <tp>
        <v>0.19</v>
        <stp/>
        <stp>##V3_BDHV12</stp>
        <stp>AMZN US Equity</stp>
        <stp>IS_EPS</stp>
        <stp>FQ1 2005</stp>
        <stp>FQ1 2005</stp>
        <stp>[FA1_j2ahgkxc.xlsx]Per Share!R14C27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4" s="5"/>
      </tp>
      <tp>
        <v>0.28000000000000003</v>
        <stp/>
        <stp>##V3_BDHV12</stp>
        <stp>AMZN US Equity</stp>
        <stp>IS_EPS</stp>
        <stp>FQ1 2004</stp>
        <stp>FQ1 2004</stp>
        <stp>[FA1_j2ahgkxc.xlsx]Per Share!R14C23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4" s="5"/>
      </tp>
      <tp>
        <v>0.52</v>
        <stp/>
        <stp>##V3_BDHV12</stp>
        <stp>AMZN US Equity</stp>
        <stp>IS_EPS</stp>
        <stp>FQ4 2008</stp>
        <stp>FQ4 2008</stp>
        <stp>[FA1_j2ahgkxc.xlsx]Per Share!R14C42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4" s="5"/>
      </tp>
      <tp>
        <v>0.5</v>
        <stp/>
        <stp>##V3_BDHV12</stp>
        <stp>AMZN US Equity</stp>
        <stp>IS_EPS</stp>
        <stp>FQ4 2007</stp>
        <stp>FQ4 2007</stp>
        <stp>[FA1_j2ahgkxc.xlsx]Per Share!R14C38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4" s="5"/>
      </tp>
      <tp>
        <v>0.24</v>
        <stp/>
        <stp>##V3_BDHV12</stp>
        <stp>AMZN US Equity</stp>
        <stp>IS_EPS</stp>
        <stp>FQ4 2006</stp>
        <stp>FQ4 2006</stp>
        <stp>[FA1_j2ahgkxc.xlsx]Per Share!R14C34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4" s="5"/>
      </tp>
      <tp>
        <v>0.85</v>
        <stp/>
        <stp>##V3_BDHV12</stp>
        <stp>AMZN US Equity</stp>
        <stp>IS_EPS</stp>
        <stp>FQ4 2004</stp>
        <stp>FQ4 2004</stp>
        <stp>[FA1_j2ahgkxc.xlsx]Per Share!R14C26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4" s="5"/>
      </tp>
      <tp>
        <v>0.48</v>
        <stp/>
        <stp>##V3_BDHV12</stp>
        <stp>AMZN US Equity</stp>
        <stp>IS_EPS</stp>
        <stp>FQ4 2005</stp>
        <stp>FQ4 2005</stp>
        <stp>[FA1_j2ahgkxc.xlsx]Per Share!R14C30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4" s="5"/>
      </tp>
      <tp>
        <v>0.01</v>
        <stp/>
        <stp>##V3_BDHV12</stp>
        <stp>AMZN US Equity</stp>
        <stp>IS_EPS</stp>
        <stp>FQ4 2001</stp>
        <stp>FQ4 2001</stp>
        <stp>[FA1_j2ahgkxc.xlsx]Per Share!R14C14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4" s="5"/>
      </tp>
      <tp>
        <v>-1.53</v>
        <stp/>
        <stp>##V3_BDHV12</stp>
        <stp>AMZN US Equity</stp>
        <stp>IS_EPS</stp>
        <stp>FQ4 2000</stp>
        <stp>FQ4 2000</stp>
        <stp>[FA1_j2ahgkxc.xlsx]Per Share!R14C10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4" s="5"/>
      </tp>
      <tp>
        <v>0.18</v>
        <stp/>
        <stp>##V3_BDHV12</stp>
        <stp>AMZN US Equity</stp>
        <stp>IS_EPS</stp>
        <stp>FQ4 2003</stp>
        <stp>FQ4 2003</stp>
        <stp>[FA1_j2ahgkxc.xlsx]Per Share!R14C22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4" s="5"/>
      </tp>
      <tp>
        <v>0.01</v>
        <stp/>
        <stp>##V3_BDHV12</stp>
        <stp>AMZN US Equity</stp>
        <stp>IS_EPS</stp>
        <stp>FQ4 2002</stp>
        <stp>FQ4 2002</stp>
        <stp>[FA1_j2ahgkxc.xlsx]Per Share!R14C18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4" s="5"/>
      </tp>
      <tp>
        <v>-46</v>
        <stp/>
        <stp>##V3_BDHV12</stp>
        <stp>AMZN US Equity</stp>
        <stp>CHG_IN_FXD_&amp;_INTANG_AST_DETAILED</stp>
        <stp>FQ1 2006</stp>
        <stp>FQ1 2006</stp>
        <stp>[FA1_j2ahgkxc.xlsx]Cash Flow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4"/>
      </tp>
      <tp>
        <v>-11.353</v>
        <stp/>
        <stp>##V3_BDHV12</stp>
        <stp>AMZN US Equity</stp>
        <stp>CHG_IN_FXD_&amp;_INTANG_AST_DETAILED</stp>
        <stp>FQ3 2002</stp>
        <stp>FQ3 2002</stp>
        <stp>[FA1_j2ahgkxc.xlsx]Cash Flow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4"/>
      </tp>
      <tp>
        <v>-12.925000000000001</v>
        <stp/>
        <stp>##V3_BDHV12</stp>
        <stp>AMZN US Equity</stp>
        <stp>CHG_IN_FXD_&amp;_INTANG_AST_DETAILED</stp>
        <stp>FQ3 2001</stp>
        <stp>FQ3 2001</stp>
        <stp>[FA1_j2ahgkxc.xlsx]Cash Flow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4"/>
      </tp>
      <tp>
        <v>-61</v>
        <stp/>
        <stp>##V3_BDHV12</stp>
        <stp>AMZN US Equity</stp>
        <stp>CHG_IN_FXD_&amp;_INTANG_AST_DETAILED</stp>
        <stp>FQ1 2008</stp>
        <stp>FQ1 2008</stp>
        <stp>[FA1_j2ahgkxc.xlsx]Cash Flow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4"/>
      </tp>
      <tp>
        <v>-34</v>
        <stp/>
        <stp>##V3_BDHV12</stp>
        <stp>AMZN US Equity</stp>
        <stp>CHG_IN_FXD_&amp;_INTANG_AST_DETAILED</stp>
        <stp>FQ1 2007</stp>
        <stp>FQ1 2007</stp>
        <stp>[FA1_j2ahgkxc.xlsx]Cash Flow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4"/>
      </tp>
      <tp>
        <v>0</v>
        <stp/>
        <stp>##V3_BDHV12</stp>
        <stp>AMZN US Equity</stp>
        <stp>IS_INC_TAX_EXP</stp>
        <stp>FQ2 2002</stp>
        <stp>FQ2 2002</stp>
        <stp>[FA1_j2ahgkxc.xlsx]Income - Adjusted!R21C16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1" s="2"/>
      </tp>
      <tp>
        <v>32</v>
        <stp/>
        <stp>##V3_BDHV12</stp>
        <stp>AMZN US Equity</stp>
        <stp>IS_INC_TAX_EXP</stp>
        <stp>FQ2 2006</stp>
        <stp>FQ2 2006</stp>
        <stp>[FA1_j2ahgkxc.xlsx]Income - Adjusted!R21C32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1" s="2"/>
      </tp>
      <tp>
        <v>204</v>
        <stp/>
        <stp>##V3_BDHV12</stp>
        <stp>AMZN US Equity</stp>
        <stp>PRETAX_INC</stp>
        <stp>FQ2 2008</stp>
        <stp>FQ2 2008</stp>
        <stp>[FA1_j2ahgkxc.xlsx]Income - Adjusted!R17C40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7" s="2"/>
      </tp>
      <tp>
        <v>-0.43</v>
        <stp/>
        <stp>##V3_BDHV12</stp>
        <stp>AMZN US Equity</stp>
        <stp>IS_DIL_EPS_BEF_XO</stp>
        <stp>FQ2 1999</stp>
        <stp>FQ2 1999</stp>
        <stp>[FA1_j2ahgkxc.xlsx]Per Share!R18C5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8" s="5"/>
      </tp>
      <tp>
        <v>310.56299999999999</v>
        <stp/>
        <stp>##V3_BDHV12</stp>
        <stp>AMZN US Equity</stp>
        <stp>EQY_FLOAT</stp>
        <stp>FQ4 2007</stp>
        <stp>FQ4 2007</stp>
        <stp>[FA1_j2ahgkxc.xlsx]Stock Value!R14C38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4" s="6"/>
      </tp>
      <tp>
        <v>416</v>
        <stp/>
        <stp>##V3_BDHV12</stp>
        <stp>AMZN US Equity</stp>
        <stp>BS_SH_OUT</stp>
        <stp>FQ4 2005</stp>
        <stp>FQ4 2005</stp>
        <stp>[FA1_j2ahgkxc.xlsx]Per Share!R6C30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5"/>
      </tp>
      <tp>
        <v>400.42200000000003</v>
        <stp/>
        <stp>##V3_BDHV12</stp>
        <stp>AMZN US Equity</stp>
        <stp>BS_SH_OUT</stp>
        <stp>FQ3 2003</stp>
        <stp>FQ3 2003</stp>
        <stp>[FA1_j2ahgkxc.xlsx]Per Share!R6C21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5"/>
      </tp>
      <tp>
        <v>396.73</v>
        <stp/>
        <stp>##V3_BDHV12</stp>
        <stp>AMZN US Equity</stp>
        <stp>BS_SH_OUT</stp>
        <stp>FQ2 2003</stp>
        <stp>FQ2 2003</stp>
        <stp>[FA1_j2ahgkxc.xlsx]Per Share!R6C20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5"/>
      </tp>
      <tp>
        <v>373.21800000000002</v>
        <stp/>
        <stp>##V3_BDHV12</stp>
        <stp>AMZN US Equity</stp>
        <stp>BS_SH_OUT</stp>
        <stp>FQ4 2001</stp>
        <stp>FQ4 2001</stp>
        <stp>[FA1_j2ahgkxc.xlsx]Per Share!R6C14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5"/>
      </tp>
      <tp>
        <v>358.84699999999998</v>
        <stp/>
        <stp>##V3_BDHV12</stp>
        <stp>AMZN US Equity</stp>
        <stp>BS_SH_OUT</stp>
        <stp>FQ1 2001</stp>
        <stp>FQ1 2001</stp>
        <stp>[FA1_j2ahgkxc.xlsx]Per Share!R6C11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5"/>
      </tp>
      <tp>
        <v>362.19099999999997</v>
        <stp/>
        <stp>##V3_BDHV12</stp>
        <stp>AMZN US Equity</stp>
        <stp>BS_SH_OUT</stp>
        <stp>FQ2 2001</stp>
        <stp>FQ2 2001</stp>
        <stp>[FA1_j2ahgkxc.xlsx]Per Share!R6C12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5"/>
      </tp>
      <tp>
        <v>371.76600000000002</v>
        <stp/>
        <stp>##V3_BDHV12</stp>
        <stp>AMZN US Equity</stp>
        <stp>BS_SH_OUT</stp>
        <stp>FQ3 2001</stp>
        <stp>FQ3 2001</stp>
        <stp>[FA1_j2ahgkxc.xlsx]Per Share!R6C13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5"/>
      </tp>
      <tp t="s">
        <v>—</v>
        <stp/>
        <stp>##V3_BDHV12</stp>
        <stp>AMZN US Equity</stp>
        <stp>EQY_FLOAT</stp>
        <stp>FQ4 2002</stp>
        <stp>FQ4 2002</stp>
        <stp>[FA1_j2ahgkxc.xlsx]Stock Value!R14C18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4" s="6"/>
      </tp>
      <tp>
        <v>2082.6970000000001</v>
        <stp/>
        <stp>##V3_BDHV12</stp>
        <stp>AMZN US Equity</stp>
        <stp>BS_LT_BORROW</stp>
        <stp>FQ3 2000</stp>
        <stp>FQ3 2000</stp>
        <stp>[FA1_j2ahgkxc.xlsx]Bal Sheet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3"/>
      </tp>
      <tp>
        <v>1520.4</v>
        <stp/>
        <stp>##V3_BDHV12</stp>
        <stp>AMZN US Equity</stp>
        <stp>LONG_TERM_BORROWINGS_DETAILED</stp>
        <stp>FQ2 2005</stp>
        <stp>FQ2 2005</stp>
        <stp>[FA1_j2ahgkxc.xlsx]Bal Sheet - Standardized!R41C28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1" s="3"/>
      </tp>
      <tp>
        <v>409</v>
        <stp/>
        <stp>##V3_BDHV12</stp>
        <stp>AMZN US Equity</stp>
        <stp>LONG_TERM_BORROWINGS_DETAILED</stp>
        <stp>FQ4 2008</stp>
        <stp>FQ4 2008</stp>
        <stp>[FA1_j2ahgkxc.xlsx]Bal Sheet - Standardized!R41C42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1" s="3"/>
      </tp>
      <tp>
        <v>2136.9609999999998</v>
        <stp/>
        <stp>##V3_BDHV12</stp>
        <stp>AMZN US Equity</stp>
        <stp>BS_LT_BORROW</stp>
        <stp>FQ1 2000</stp>
        <stp>FQ1 2000</stp>
        <stp>[FA1_j2ahgkxc.xlsx]Bal Sheet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3"/>
      </tp>
      <tp t="s">
        <v>—</v>
        <stp/>
        <stp>##V3_BDHV12</stp>
        <stp>AMZN US Equity</stp>
        <stp>LONG_TERM_BORROWINGS_DETAILED</stp>
        <stp>FQ1 2003</stp>
        <stp>FQ1 2003</stp>
        <stp>[FA1_j2ahgkxc.xlsx]Bal Sheet - Standardized!R41C19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1" s="3"/>
      </tp>
      <tp t="s">
        <v>—</v>
        <stp/>
        <stp>##V3_BDHV12</stp>
        <stp>AMZN US Equity</stp>
        <stp>LONG_TERM_BORROWINGS_DETAILED</stp>
        <stp>FQ1 2002</stp>
        <stp>FQ1 2002</stp>
        <stp>[FA1_j2ahgkxc.xlsx]Bal Sheet - Standardized!R41C15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1" s="3"/>
      </tp>
      <tp t="s">
        <v>—</v>
        <stp/>
        <stp>##V3_BDHV12</stp>
        <stp>AMZN US Equity</stp>
        <stp>LONG_TERM_BORROWINGS_DETAILED</stp>
        <stp>FQ3 2006</stp>
        <stp>FQ3 2006</stp>
        <stp>[FA1_j2ahgkxc.xlsx]Bal Sheet - Standardized!R41C33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1" s="3"/>
      </tp>
      <tp t="s">
        <v>—</v>
        <stp/>
        <stp>##V3_BDHV12</stp>
        <stp>AMZN US Equity</stp>
        <stp>LONG_TERM_BORROWINGS_DETAILED</stp>
        <stp>FQ3 2007</stp>
        <stp>FQ3 2007</stp>
        <stp>[FA1_j2ahgkxc.xlsx]Bal Sheet - Standardized!R41C37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1" s="3"/>
      </tp>
      <tp t="s">
        <v>—</v>
        <stp/>
        <stp>##V3_BDHV12</stp>
        <stp>AMZN US Equity</stp>
        <stp>IS_INT_INC</stp>
        <stp>FQ4 1998</stp>
        <stp>FQ4 1998</stp>
        <stp>[FA1_j2ahgkxc.xlsx]Income - Adjusted!R15C3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5" s="2"/>
      </tp>
      <tp t="s">
        <v>—</v>
        <stp/>
        <stp>##V3_BDHV12</stp>
        <stp>AMZN US Equity</stp>
        <stp>LONG_TERM_BORROWINGS_DETAILED</stp>
        <stp>FQ2 2004</stp>
        <stp>FQ2 2004</stp>
        <stp>[FA1_j2ahgkxc.xlsx]Bal Sheet - Standardized!R41C24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1" s="3"/>
      </tp>
      <tp t="s">
        <v>—</v>
        <stp/>
        <stp>##V3_BDHV12</stp>
        <stp>AMZN US Equity</stp>
        <stp>LONG_TERM_BORROWINGS_DETAILED</stp>
        <stp>FQ1 2001</stp>
        <stp>FQ1 2001</stp>
        <stp>[FA1_j2ahgkxc.xlsx]Bal Sheet - Standardized!R41C11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1" s="3"/>
      </tp>
      <tp t="s">
        <v>—</v>
        <stp/>
        <stp>##V3_BDHV12</stp>
        <stp>AMZN US Equity</stp>
        <stp>LONG_TERM_BORROWINGS_DETAILED</stp>
        <stp>FQ2 2003</stp>
        <stp>FQ2 2003</stp>
        <stp>[FA1_j2ahgkxc.xlsx]Bal Sheet - Standardized!R41C20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1" s="3"/>
      </tp>
      <tp>
        <v>-17.5457</v>
        <stp/>
        <stp>##V3_BDHV12</stp>
        <stp>AMZN US Equity</stp>
        <stp>EBITDA_MARGIN</stp>
        <stp>FQ2 1999</stp>
        <stp>FQ2 1999</stp>
        <stp>[FA1_j2ahgkxc.xlsx]Cash Flow - Standardized!R46C4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46" s="4"/>
      </tp>
      <tp>
        <v>3096</v>
        <stp/>
        <stp>##V3_BDHV12</stp>
        <stp>AMZN US Equity</stp>
        <stp>IS_COGS_TO_FE_AND_PP_AND_G</stp>
        <stp>FQ2 2008</stp>
        <stp>FQ2 2008</stp>
        <stp>[FA1_j2ahgkxc.xlsx]Income - Adjusted!R7C40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7" s="2"/>
      </tp>
      <tp>
        <v>3265</v>
        <stp/>
        <stp>##V3_BDHV12</stp>
        <stp>AMZN US Equity</stp>
        <stp>IS_COGS_TO_FE_AND_PP_AND_G</stp>
        <stp>FQ3 2008</stp>
        <stp>FQ3 2008</stp>
        <stp>[FA1_j2ahgkxc.xlsx]Income - Adjusted!R7C41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7" s="2"/>
      </tp>
      <tp>
        <v>15.983000000000001</v>
        <stp/>
        <stp>##V3_BDHV12</stp>
        <stp>AMZN US Equity</stp>
        <stp>BS_ST_BORROW</stp>
        <stp>FQ1 2000</stp>
        <stp>FQ1 2000</stp>
        <stp>[FA1_j2ahgkxc.xlsx]Bal Sheet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3"/>
      </tp>
      <tp t="s">
        <v>—</v>
        <stp/>
        <stp>##V3_BDHV12</stp>
        <stp>AMZN US Equity</stp>
        <stp>EBITDA_MARGIN</stp>
        <stp>FQ2 2000</stp>
        <stp>FQ2 2000</stp>
        <stp>[FA1_j2ahgkxc.xlsx]Cash Flow - Standardized!R46C8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46" s="4"/>
      </tp>
      <tp>
        <v>17.213000000000001</v>
        <stp/>
        <stp>##V3_BDHV12</stp>
        <stp>AMZN US Equity</stp>
        <stp>BS_ST_BORROW</stp>
        <stp>FQ3 2000</stp>
        <stp>FQ3 2000</stp>
        <stp>[FA1_j2ahgkxc.xlsx]Bal Sheet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3"/>
      </tp>
      <tp t="s">
        <v>—</v>
        <stp/>
        <stp>##V3_BDHV12</stp>
        <stp>AMZN US Equity</stp>
        <stp>BS_GOODWILL</stp>
        <stp>FQ4 2000</stp>
        <stp>FQ4 2000</stp>
        <stp>[FA1_j2ahgkxc.xlsx]Bal Sheet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3"/>
      </tp>
      <tp>
        <v>4236</v>
        <stp/>
        <stp>##V3_BDHV12</stp>
        <stp>AMZN US Equity</stp>
        <stp>BS_CUR_ASSET_REPORT</stp>
        <stp>FQ2 2008</stp>
        <stp>FQ2 2008</stp>
        <stp>[FA1_j2ahgkxc.xlsx]Bal Sheet - Standardized!R18C40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3"/>
      </tp>
      <tp>
        <v>33</v>
        <stp/>
        <stp>##V3_BDHV12</stp>
        <stp>AMZN US Equity</stp>
        <stp>BS_CURR_RENTAL_EXPENSE</stp>
        <stp>FQ3 2006</stp>
        <stp>FQ3 2006</stp>
        <stp>[FA1_j2ahgkxc.xlsx]Income - Adjusted!R58C33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8" s="2"/>
      </tp>
      <tp>
        <v>45.366999999999997</v>
        <stp/>
        <stp>##V3_BDHV12</stp>
        <stp>AMZN US Equity</stp>
        <stp>BS_GOODWILL</stp>
        <stp>FQ4 2001</stp>
        <stp>FQ4 2001</stp>
        <stp>[FA1_j2ahgkxc.xlsx]Bal Sheet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3"/>
      </tp>
      <tp>
        <v>15</v>
        <stp/>
        <stp>##V3_BDHV12</stp>
        <stp>AMZN US Equity</stp>
        <stp>BS_CURR_RENTAL_EXPENSE</stp>
        <stp>FQ1 2005</stp>
        <stp>FQ1 2005</stp>
        <stp>[FA1_j2ahgkxc.xlsx]Income - Adjusted!R58C27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8" s="2"/>
      </tp>
      <tp>
        <v>33</v>
        <stp/>
        <stp>##V3_BDHV12</stp>
        <stp>AMZN US Equity</stp>
        <stp>BS_CURR_RENTAL_EXPENSE</stp>
        <stp>FQ2 2007</stp>
        <stp>FQ2 2007</stp>
        <stp>[FA1_j2ahgkxc.xlsx]Income - Adjusted!R58C36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8" s="2"/>
      </tp>
      <tp>
        <v>70.811000000000007</v>
        <stp/>
        <stp>##V3_BDHV12</stp>
        <stp>AMZN US Equity</stp>
        <stp>BS_GOODWILL</stp>
        <stp>FQ4 2002</stp>
        <stp>FQ4 2002</stp>
        <stp>[FA1_j2ahgkxc.xlsx]Bal Sheet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3"/>
      </tp>
      <tp>
        <v>1820.809</v>
        <stp/>
        <stp>##V3_BDHV12</stp>
        <stp>AMZN US Equity</stp>
        <stp>BS_CUR_ASSET_REPORT</stp>
        <stp>FQ4 2003</stp>
        <stp>FQ4 2003</stp>
        <stp>[FA1_j2ahgkxc.xlsx]Bal Sheet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3"/>
      </tp>
      <tp>
        <v>2539.3960000000002</v>
        <stp/>
        <stp>##V3_BDHV12</stp>
        <stp>AMZN US Equity</stp>
        <stp>BS_CUR_ASSET_REPORT</stp>
        <stp>FQ4 2004</stp>
        <stp>FQ4 2004</stp>
        <stp>[FA1_j2ahgkxc.xlsx]Bal Sheet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3"/>
      </tp>
      <tp t="s">
        <v>—</v>
        <stp/>
        <stp>##V3_BDHV12</stp>
        <stp>AMZN US Equity</stp>
        <stp>IS_CAP_INT_EXP</stp>
        <stp>FQ3 2002</stp>
        <stp>FQ3 2002</stp>
        <stp>[FA1_j2ahgkxc.xlsx]Income - Adjusted!R56C17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6" s="2"/>
      </tp>
      <tp>
        <v>21.0869</v>
        <stp/>
        <stp>##V3_BDHV12</stp>
        <stp>AMZN US Equity</stp>
        <stp>GROSS_MARGIN</stp>
        <stp>FQ4 1998</stp>
        <stp>FQ4 1998</stp>
        <stp>[FA1_j2ahgkxc.xlsx]Income - Adjusted!R50C3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0" s="2"/>
      </tp>
      <tp t="s">
        <v>—</v>
        <stp/>
        <stp>##V3_BDHV12</stp>
        <stp>AMZN US Equity</stp>
        <stp>IS_CAP_INT_EXP</stp>
        <stp>FQ4 2007</stp>
        <stp>FQ4 2007</stp>
        <stp>[FA1_j2ahgkxc.xlsx]Income - Adjusted!R56C38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6" s="2"/>
      </tp>
      <tp>
        <v>6.1428000000000003</v>
        <stp/>
        <stp>##V3_BDHV12</stp>
        <stp>AMZN US Equity</stp>
        <stp>EBITDA_MARGIN</stp>
        <stp>FQ3 2008</stp>
        <stp>FQ3 2008</stp>
        <stp>[FA1_j2ahgkxc.xlsx]Cash Flow - Standardized!R46C41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46" s="4"/>
      </tp>
      <tp>
        <v>6.2336</v>
        <stp/>
        <stp>##V3_BDHV12</stp>
        <stp>AMZN US Equity</stp>
        <stp>EBITDA_MARGIN</stp>
        <stp>FQ2 2008</stp>
        <stp>FQ2 2008</stp>
        <stp>[FA1_j2ahgkxc.xlsx]Cash Flow - Standardized!R46C40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46" s="4"/>
      </tp>
      <tp>
        <v>5.9977</v>
        <stp/>
        <stp>##V3_BDHV12</stp>
        <stp>AMZN US Equity</stp>
        <stp>EBITDA_MARGIN</stp>
        <stp>FQ1 2008</stp>
        <stp>FQ1 2008</stp>
        <stp>[FA1_j2ahgkxc.xlsx]Cash Flow - Standardized!R46C39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46" s="4"/>
      </tp>
      <tp>
        <v>5.8906000000000001</v>
        <stp/>
        <stp>##V3_BDHV12</stp>
        <stp>AMZN US Equity</stp>
        <stp>EBITDA_MARGIN</stp>
        <stp>FQ4 2008</stp>
        <stp>FQ4 2008</stp>
        <stp>[FA1_j2ahgkxc.xlsx]Cash Flow - Standardized!R46C42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46" s="4"/>
      </tp>
      <tp>
        <v>-58</v>
        <stp/>
        <stp>##V3_BDHV12</stp>
        <stp>AMZN US Equity</stp>
        <stp>CHG_IN_FXD_&amp;_INTANG_AST_DETAILED</stp>
        <stp>FQ2 2006</stp>
        <stp>FQ2 2006</stp>
        <stp>[FA1_j2ahgkxc.xlsx]Cash Flow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4"/>
      </tp>
      <tp>
        <v>-15.192</v>
        <stp/>
        <stp>##V3_BDHV12</stp>
        <stp>AMZN US Equity</stp>
        <stp>CHG_IN_FXD_&amp;_INTANG_AST_DETAILED</stp>
        <stp>FQ3 2003</stp>
        <stp>FQ3 2003</stp>
        <stp>[FA1_j2ahgkxc.xlsx]Cash Flow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4"/>
      </tp>
      <tp>
        <v>-47</v>
        <stp/>
        <stp>##V3_BDHV12</stp>
        <stp>AMZN US Equity</stp>
        <stp>CHG_IN_FXD_&amp;_INTANG_AST_DETAILED</stp>
        <stp>FQ2 2007</stp>
        <stp>FQ2 2007</stp>
        <stp>[FA1_j2ahgkxc.xlsx]Cash Flow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4"/>
      </tp>
      <tp>
        <v>-28.722000000000001</v>
        <stp/>
        <stp>##V3_BDHV12</stp>
        <stp>AMZN US Equity</stp>
        <stp>CHG_IN_FXD_&amp;_INTANG_AST_DETAILED</stp>
        <stp>FQ3 2004</stp>
        <stp>FQ3 2004</stp>
        <stp>[FA1_j2ahgkxc.xlsx]Cash Flow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4"/>
      </tp>
      <tp>
        <v>0</v>
        <stp/>
        <stp>##V3_BDHV12</stp>
        <stp>AMZN US Equity</stp>
        <stp>IS_INC_TAX_EXP</stp>
        <stp>FQ1 2002</stp>
        <stp>FQ1 2002</stp>
        <stp>[FA1_j2ahgkxc.xlsx]Income - Adjusted!R21C15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1" s="2"/>
      </tp>
      <tp>
        <v>0</v>
        <stp/>
        <stp>##V3_BDHV12</stp>
        <stp>AMZN US Equity</stp>
        <stp>IS_INC_TAX_EXP</stp>
        <stp>FQ1 2004</stp>
        <stp>FQ1 2004</stp>
        <stp>[FA1_j2ahgkxc.xlsx]Income - Adjusted!R21C23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1" s="2"/>
      </tp>
      <tp>
        <v>45</v>
        <stp/>
        <stp>##V3_BDHV12</stp>
        <stp>AMZN US Equity</stp>
        <stp>IS_INC_TAX_EXP</stp>
        <stp>FQ1 2006</stp>
        <stp>FQ1 2006</stp>
        <stp>[FA1_j2ahgkxc.xlsx]Income - Adjusted!R21C31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1" s="2"/>
      </tp>
      <tp>
        <v>112</v>
        <stp/>
        <stp>##V3_BDHV12</stp>
        <stp>AMZN US Equity</stp>
        <stp>NON_CASH_ITEMS_DETAILED</stp>
        <stp>FQ4 2008</stp>
        <stp>FQ4 2008</stp>
        <stp>[FA1_j2ahgkxc.xlsx]Cash Flow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4"/>
      </tp>
      <tp>
        <v>-76</v>
        <stp/>
        <stp>##V3_BDHV12</stp>
        <stp>AMZN US Equity</stp>
        <stp>CHG_IN_FXD_&amp;_INTANG_AST_DETAILED</stp>
        <stp>FQ3 2005</stp>
        <stp>FQ3 2005</stp>
        <stp>[FA1_j2ahgkxc.xlsx]Cash Flow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4"/>
      </tp>
      <tp>
        <v>3.7231999999999998</v>
        <stp/>
        <stp>##V3_BDHV12</stp>
        <stp>AMZN US Equity</stp>
        <stp>REVENUE_PER_SH</stp>
        <stp>FQ4 2002</stp>
        <stp>FQ4 2002</stp>
        <stp>[FA1_j2ahgkxc.xlsx]Per Share!R11C18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1" s="5"/>
      </tp>
      <tp>
        <v>3.0024999999999999</v>
        <stp/>
        <stp>##V3_BDHV12</stp>
        <stp>AMZN US Equity</stp>
        <stp>REVENUE_PER_SH</stp>
        <stp>FQ4 2001</stp>
        <stp>FQ4 2001</stp>
        <stp>[FA1_j2ahgkxc.xlsx]Per Share!R11C14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1" s="5"/>
      </tp>
      <tp>
        <v>2.7338</v>
        <stp/>
        <stp>##V3_BDHV12</stp>
        <stp>AMZN US Equity</stp>
        <stp>REVENUE_PER_SH</stp>
        <stp>FQ4 2000</stp>
        <stp>FQ4 2000</stp>
        <stp>[FA1_j2ahgkxc.xlsx]Per Share!R11C10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1" s="5"/>
      </tp>
      <tp>
        <v>4.8472</v>
        <stp/>
        <stp>##V3_BDHV12</stp>
        <stp>AMZN US Equity</stp>
        <stp>REVENUE_PER_SH</stp>
        <stp>FQ4 2003</stp>
        <stp>FQ4 2003</stp>
        <stp>[FA1_j2ahgkxc.xlsx]Per Share!R11C22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1" s="5"/>
      </tp>
      <tp>
        <v>6.2244000000000002</v>
        <stp/>
        <stp>##V3_BDHV12</stp>
        <stp>AMZN US Equity</stp>
        <stp>REVENUE_PER_SH</stp>
        <stp>FQ4 2004</stp>
        <stp>FQ4 2004</stp>
        <stp>[FA1_j2ahgkxc.xlsx]Per Share!R11C26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1" s="5"/>
      </tp>
      <tp>
        <v>7.1734999999999998</v>
        <stp/>
        <stp>##V3_BDHV12</stp>
        <stp>AMZN US Equity</stp>
        <stp>REVENUE_PER_SH</stp>
        <stp>FQ4 2005</stp>
        <stp>FQ4 2005</stp>
        <stp>[FA1_j2ahgkxc.xlsx]Per Share!R11C30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1" s="5"/>
      </tp>
      <tp>
        <v>13.637</v>
        <stp/>
        <stp>##V3_BDHV12</stp>
        <stp>AMZN US Equity</stp>
        <stp>REVENUE_PER_SH</stp>
        <stp>FQ4 2007</stp>
        <stp>FQ4 2007</stp>
        <stp>[FA1_j2ahgkxc.xlsx]Per Share!R11C38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1" s="5"/>
      </tp>
      <tp>
        <v>9.5816999999999997</v>
        <stp/>
        <stp>##V3_BDHV12</stp>
        <stp>AMZN US Equity</stp>
        <stp>REVENUE_PER_SH</stp>
        <stp>FQ4 2006</stp>
        <stp>FQ4 2006</stp>
        <stp>[FA1_j2ahgkxc.xlsx]Per Share!R11C34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1" s="5"/>
      </tp>
      <tp>
        <v>15.663600000000001</v>
        <stp/>
        <stp>##V3_BDHV12</stp>
        <stp>AMZN US Equity</stp>
        <stp>REVENUE_PER_SH</stp>
        <stp>FQ4 2008</stp>
        <stp>FQ4 2008</stp>
        <stp>[FA1_j2ahgkxc.xlsx]Per Share!R11C42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1" s="5"/>
      </tp>
      <tp>
        <v>5.5324</v>
        <stp/>
        <stp>##V3_BDHV12</stp>
        <stp>AMZN US Equity</stp>
        <stp>REVENUE_PER_SH</stp>
        <stp>FQ3 2006</stp>
        <stp>FQ3 2006</stp>
        <stp>[FA1_j2ahgkxc.xlsx]Per Share!R11C33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1" s="5"/>
      </tp>
      <tp>
        <v>7.8792</v>
        <stp/>
        <stp>##V3_BDHV12</stp>
        <stp>AMZN US Equity</stp>
        <stp>REVENUE_PER_SH</stp>
        <stp>FQ3 2007</stp>
        <stp>FQ3 2007</stp>
        <stp>[FA1_j2ahgkxc.xlsx]Per Share!R11C37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1" s="5"/>
      </tp>
      <tp>
        <v>4.4988000000000001</v>
        <stp/>
        <stp>##V3_BDHV12</stp>
        <stp>AMZN US Equity</stp>
        <stp>REVENUE_PER_SH</stp>
        <stp>FQ3 2005</stp>
        <stp>FQ3 2005</stp>
        <stp>[FA1_j2ahgkxc.xlsx]Per Share!R11C29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1" s="5"/>
      </tp>
      <tp>
        <v>3.5964</v>
        <stp/>
        <stp>##V3_BDHV12</stp>
        <stp>AMZN US Equity</stp>
        <stp>REVENUE_PER_SH</stp>
        <stp>FQ3 2004</stp>
        <stp>FQ3 2004</stp>
        <stp>[FA1_j2ahgkxc.xlsx]Per Share!R11C25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1" s="5"/>
      </tp>
      <tp>
        <v>2.851</v>
        <stp/>
        <stp>##V3_BDHV12</stp>
        <stp>AMZN US Equity</stp>
        <stp>REVENUE_PER_SH</stp>
        <stp>FQ3 2003</stp>
        <stp>FQ3 2003</stp>
        <stp>[FA1_j2ahgkxc.xlsx]Per Share!R11C21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1" s="5"/>
      </tp>
      <tp>
        <v>1.7368999999999999</v>
        <stp/>
        <stp>##V3_BDHV12</stp>
        <stp>AMZN US Equity</stp>
        <stp>REVENUE_PER_SH</stp>
        <stp>FQ3 2001</stp>
        <stp>FQ3 2001</stp>
        <stp>[FA1_j2ahgkxc.xlsx]Per Share!R11C13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1" s="5"/>
      </tp>
      <tp>
        <v>2.2423000000000002</v>
        <stp/>
        <stp>##V3_BDHV12</stp>
        <stp>AMZN US Equity</stp>
        <stp>REVENUE_PER_SH</stp>
        <stp>FQ3 2002</stp>
        <stp>FQ3 2002</stp>
        <stp>[FA1_j2ahgkxc.xlsx]Per Share!R11C17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1" s="5"/>
      </tp>
      <tp>
        <v>9.9859000000000009</v>
        <stp/>
        <stp>##V3_BDHV12</stp>
        <stp>AMZN US Equity</stp>
        <stp>REVENUE_PER_SH</stp>
        <stp>FQ3 2008</stp>
        <stp>FQ3 2008</stp>
        <stp>[FA1_j2ahgkxc.xlsx]Per Share!R11C41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1" s="5"/>
      </tp>
      <tp>
        <v>-16</v>
        <stp/>
        <stp>##V3_BDHV12</stp>
        <stp>AMZN US Equity</stp>
        <stp>NON_CASH_ITEMS_DETAILED</stp>
        <stp>FQ2 2008</stp>
        <stp>FQ2 2008</stp>
        <stp>[FA1_j2ahgkxc.xlsx]Cash Flow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4"/>
      </tp>
      <tp>
        <v>7.0049000000000001</v>
        <stp/>
        <stp>##V3_BDHV12</stp>
        <stp>AMZN US Equity</stp>
        <stp>REVENUE_PER_SH</stp>
        <stp>FQ2 2007</stp>
        <stp>FQ2 2007</stp>
        <stp>[FA1_j2ahgkxc.xlsx]Per Share!R11C36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1" s="5"/>
      </tp>
      <tp>
        <v>-16</v>
        <stp/>
        <stp>##V3_BDHV12</stp>
        <stp>AMZN US Equity</stp>
        <stp>NON_CASH_ITEMS_DETAILED</stp>
        <stp>FQ3 2008</stp>
        <stp>FQ3 2008</stp>
        <stp>[FA1_j2ahgkxc.xlsx]Cash Flow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4"/>
      </tp>
      <tp>
        <v>5.1172000000000004</v>
        <stp/>
        <stp>##V3_BDHV12</stp>
        <stp>AMZN US Equity</stp>
        <stp>REVENUE_PER_SH</stp>
        <stp>FQ2 2006</stp>
        <stp>FQ2 2006</stp>
        <stp>[FA1_j2ahgkxc.xlsx]Per Share!R11C32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1" s="5"/>
      </tp>
      <tp>
        <v>3.4233000000000002</v>
        <stp/>
        <stp>##V3_BDHV12</stp>
        <stp>AMZN US Equity</stp>
        <stp>REVENUE_PER_SH</stp>
        <stp>FQ2 2004</stp>
        <stp>FQ2 2004</stp>
        <stp>[FA1_j2ahgkxc.xlsx]Per Share!R11C24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1" s="5"/>
      </tp>
      <tp>
        <v>4.2652000000000001</v>
        <stp/>
        <stp>##V3_BDHV12</stp>
        <stp>AMZN US Equity</stp>
        <stp>REVENUE_PER_SH</stp>
        <stp>FQ2 2005</stp>
        <stp>FQ2 2005</stp>
        <stp>[FA1_j2ahgkxc.xlsx]Per Share!R11C28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1" s="5"/>
      </tp>
      <tp>
        <v>1.8557999999999999</v>
        <stp/>
        <stp>##V3_BDHV12</stp>
        <stp>AMZN US Equity</stp>
        <stp>REVENUE_PER_SH</stp>
        <stp>FQ2 2001</stp>
        <stp>FQ2 2001</stp>
        <stp>[FA1_j2ahgkxc.xlsx]Per Share!R11C12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1" s="5"/>
      </tp>
      <tp>
        <v>2.7925</v>
        <stp/>
        <stp>##V3_BDHV12</stp>
        <stp>AMZN US Equity</stp>
        <stp>REVENUE_PER_SH</stp>
        <stp>FQ2 2003</stp>
        <stp>FQ2 2003</stp>
        <stp>[FA1_j2ahgkxc.xlsx]Per Share!R11C20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1" s="5"/>
      </tp>
      <tp>
        <v>2.1372</v>
        <stp/>
        <stp>##V3_BDHV12</stp>
        <stp>AMZN US Equity</stp>
        <stp>REVENUE_PER_SH</stp>
        <stp>FQ2 2002</stp>
        <stp>FQ2 2002</stp>
        <stp>[FA1_j2ahgkxc.xlsx]Per Share!R11C16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1" s="5"/>
      </tp>
      <tp>
        <v>9.6738</v>
        <stp/>
        <stp>##V3_BDHV12</stp>
        <stp>AMZN US Equity</stp>
        <stp>REVENUE_PER_SH</stp>
        <stp>FQ2 2008</stp>
        <stp>FQ2 2008</stp>
        <stp>[FA1_j2ahgkxc.xlsx]Per Share!R11C40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1" s="5"/>
      </tp>
      <tp>
        <v>4.6390000000000002</v>
        <stp/>
        <stp>##V3_BDHV12</stp>
        <stp>AMZN US Equity</stp>
        <stp>REVENUE_PER_SH</stp>
        <stp>FQ1 2005</stp>
        <stp>FQ1 2005</stp>
        <stp>[FA1_j2ahgkxc.xlsx]Per Share!R11C27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1" s="5"/>
      </tp>
      <tp>
        <v>3.7923</v>
        <stp/>
        <stp>##V3_BDHV12</stp>
        <stp>AMZN US Equity</stp>
        <stp>REVENUE_PER_SH</stp>
        <stp>FQ1 2004</stp>
        <stp>FQ1 2004</stp>
        <stp>[FA1_j2ahgkxc.xlsx]Per Share!R11C23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1" s="5"/>
      </tp>
      <tp>
        <v>5.4652000000000003</v>
        <stp/>
        <stp>##V3_BDHV12</stp>
        <stp>AMZN US Equity</stp>
        <stp>REVENUE_PER_SH</stp>
        <stp>FQ1 2006</stp>
        <stp>FQ1 2006</stp>
        <stp>[FA1_j2ahgkxc.xlsx]Per Share!R11C31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1" s="5"/>
      </tp>
      <tp>
        <v>7.3179999999999996</v>
        <stp/>
        <stp>##V3_BDHV12</stp>
        <stp>AMZN US Equity</stp>
        <stp>REVENUE_PER_SH</stp>
        <stp>FQ1 2007</stp>
        <stp>FQ1 2007</stp>
        <stp>[FA1_j2ahgkxc.xlsx]Per Share!R11C35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1" s="5"/>
      </tp>
      <tp>
        <v>2.2717000000000001</v>
        <stp/>
        <stp>##V3_BDHV12</stp>
        <stp>AMZN US Equity</stp>
        <stp>REVENUE_PER_SH</stp>
        <stp>FQ1 2002</stp>
        <stp>FQ1 2002</stp>
        <stp>[FA1_j2ahgkxc.xlsx]Per Share!R11C15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1" s="5"/>
      </tp>
      <tp>
        <v>2.7888000000000002</v>
        <stp/>
        <stp>##V3_BDHV12</stp>
        <stp>AMZN US Equity</stp>
        <stp>REVENUE_PER_SH</stp>
        <stp>FQ1 2003</stp>
        <stp>FQ1 2003</stp>
        <stp>[FA1_j2ahgkxc.xlsx]Per Share!R11C19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1" s="5"/>
      </tp>
      <tp>
        <v>1.9595</v>
        <stp/>
        <stp>##V3_BDHV12</stp>
        <stp>AMZN US Equity</stp>
        <stp>REVENUE_PER_SH</stp>
        <stp>FQ1 2001</stp>
        <stp>FQ1 2001</stp>
        <stp>[FA1_j2ahgkxc.xlsx]Per Share!R11C11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1" s="5"/>
      </tp>
      <tp>
        <v>9.9161000000000001</v>
        <stp/>
        <stp>##V3_BDHV12</stp>
        <stp>AMZN US Equity</stp>
        <stp>REVENUE_PER_SH</stp>
        <stp>FQ1 2008</stp>
        <stp>FQ1 2008</stp>
        <stp>[FA1_j2ahgkxc.xlsx]Per Share!R11C39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1" s="5"/>
      </tp>
      <tp>
        <v>0</v>
        <stp/>
        <stp>##V3_BDHV12</stp>
        <stp>AMZN US Equity</stp>
        <stp>OTHER_NONCURRENT_LIABS_DETAILED</stp>
        <stp>FQ1 2000</stp>
        <stp>FQ1 2000</stp>
        <stp>[FA1_j2ahgkxc.xlsx]Bal Sheet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3"/>
      </tp>
      <tp>
        <v>0</v>
        <stp/>
        <stp>##V3_BDHV12</stp>
        <stp>AMZN US Equity</stp>
        <stp>OTHER_NONCURRENT_LIABS_DETAILED</stp>
        <stp>FQ3 2000</stp>
        <stp>FQ3 2000</stp>
        <stp>[FA1_j2ahgkxc.xlsx]Bal Sheet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407.464</v>
        <stp/>
        <stp>##V3_BDHV12</stp>
        <stp>AMZN US Equity</stp>
        <stp>BS_SH_OUT</stp>
        <stp>FQ3 2004</stp>
        <stp>FQ3 2004</stp>
        <stp>[FA1_j2ahgkxc.xlsx]Per Share!R6C25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5"/>
      </tp>
      <tp>
        <v>406.71100000000001</v>
        <stp/>
        <stp>##V3_BDHV12</stp>
        <stp>AMZN US Equity</stp>
        <stp>BS_SH_OUT</stp>
        <stp>FQ2 2004</stp>
        <stp>FQ2 2004</stp>
        <stp>[FA1_j2ahgkxc.xlsx]Per Share!R6C24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5"/>
      </tp>
      <tp>
        <v>-34.694299999999998</v>
        <stp/>
        <stp>##V3_BDHV12</stp>
        <stp>AMZN US Equity</stp>
        <stp>OPER_MARGIN</stp>
        <stp>FQ2 1999</stp>
        <stp>FQ2 1999</stp>
        <stp>[FA1_j2ahgkxc.xlsx]Income - Adjusted!R51C5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1" s="2"/>
      </tp>
      <tp>
        <v>-46.470100000000002</v>
        <stp/>
        <stp>##V3_BDHV12</stp>
        <stp>AMZN US Equity</stp>
        <stp>OPER_MARGIN</stp>
        <stp>FQ3 1999</stp>
        <stp>FQ3 1999</stp>
        <stp>[FA1_j2ahgkxc.xlsx]Income - Adjusted!R51C6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1" s="2"/>
      </tp>
      <tp>
        <v>-17.565200000000001</v>
        <stp/>
        <stp>##V3_BDHV12</stp>
        <stp>AMZN US Equity</stp>
        <stp>OPER_MARGIN</stp>
        <stp>FQ1 1999</stp>
        <stp>FQ1 1999</stp>
        <stp>[FA1_j2ahgkxc.xlsx]Income - Adjusted!R51C4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1" s="2"/>
      </tp>
      <tp>
        <v>-12.156000000000001</v>
        <stp/>
        <stp>##V3_BDHV12</stp>
        <stp>AMZN US Equity</stp>
        <stp>OPER_MARGIN</stp>
        <stp>FQ4 1999</stp>
        <stp>FQ4 1999</stp>
        <stp>[FA1_j2ahgkxc.xlsx]Income - Adjusted!R51C7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1" s="2"/>
      </tp>
      <tp>
        <v>0</v>
        <stp/>
        <stp>##V3_BDHV12</stp>
        <stp>AMZN US Equity</stp>
        <stp>XO_GL_NET_OF_TAX</stp>
        <stp>FQ2 2008</stp>
        <stp>FQ2 2008</stp>
        <stp>[FA1_j2ahgkxc.xlsx]Income - Adjusted!R23C40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2"/>
      </tp>
      <tp>
        <v>0</v>
        <stp/>
        <stp>##V3_BDHV12</stp>
        <stp>AMZN US Equity</stp>
        <stp>XO_GL_NET_OF_TAX</stp>
        <stp>FQ2 2008</stp>
        <stp>FQ2 2008</stp>
        <stp>[FA1_j2ahgkxc.xlsx]Income - Adjusted!R32C40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2"/>
      </tp>
      <tp t="s">
        <v>—</v>
        <stp/>
        <stp>##V3_BDHV12</stp>
        <stp>AMZN US Equity</stp>
        <stp>LONG_TERM_BORROWINGS_DETAILED</stp>
        <stp>FQ2 2002</stp>
        <stp>FQ2 2002</stp>
        <stp>[FA1_j2ahgkxc.xlsx]Bal Sheet - Standardized!R41C16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1" s="3"/>
      </tp>
      <tp t="s">
        <v>—</v>
        <stp/>
        <stp>##V3_BDHV12</stp>
        <stp>AMZN US Equity</stp>
        <stp>LONG_TERM_BORROWINGS_DETAILED</stp>
        <stp>FQ1 2004</stp>
        <stp>FQ1 2004</stp>
        <stp>[FA1_j2ahgkxc.xlsx]Bal Sheet - Standardized!R41C23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1" s="3"/>
      </tp>
      <tp>
        <v>1560.3</v>
        <stp/>
        <stp>##V3_BDHV12</stp>
        <stp>AMZN US Equity</stp>
        <stp>LONG_TERM_BORROWINGS_DETAILED</stp>
        <stp>FQ1 2005</stp>
        <stp>FQ1 2005</stp>
        <stp>[FA1_j2ahgkxc.xlsx]Bal Sheet - Standardized!R41C27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1" s="3"/>
      </tp>
      <tp t="s">
        <v>—</v>
        <stp/>
        <stp>##V3_BDHV12</stp>
        <stp>AMZN US Equity</stp>
        <stp>IS_INT_INC</stp>
        <stp>FQ1 1999</stp>
        <stp>FQ1 1999</stp>
        <stp>[FA1_j2ahgkxc.xlsx]Income - Adjusted!R15C4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5" s="2"/>
      </tp>
      <tp t="s">
        <v>—</v>
        <stp/>
        <stp>##V3_BDHV12</stp>
        <stp>AMZN US Equity</stp>
        <stp>IS_INT_INC</stp>
        <stp>FQ3 1999</stp>
        <stp>FQ3 1999</stp>
        <stp>[FA1_j2ahgkxc.xlsx]Income - Adjusted!R15C6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5" s="2"/>
      </tp>
      <tp t="s">
        <v>—</v>
        <stp/>
        <stp>##V3_BDHV12</stp>
        <stp>AMZN US Equity</stp>
        <stp>LONG_TERM_BORROWINGS_DETAILED</stp>
        <stp>FQ2 2001</stp>
        <stp>FQ2 2001</stp>
        <stp>[FA1_j2ahgkxc.xlsx]Bal Sheet - Standardized!R41C12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1" s="3"/>
      </tp>
      <tp>
        <v>-10.8283</v>
        <stp/>
        <stp>##V3_BDHV12</stp>
        <stp>AMZN US Equity</stp>
        <stp>EBITDA_MARGIN</stp>
        <stp>FQ1 1999</stp>
        <stp>FQ1 1999</stp>
        <stp>[FA1_j2ahgkxc.xlsx]Cash Flow - Standardized!R46C3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46" s="4"/>
      </tp>
      <tp>
        <v>-8.3732000000000006</v>
        <stp/>
        <stp>##V3_BDHV12</stp>
        <stp>AMZN US Equity</stp>
        <stp>EBITDA_MARGIN</stp>
        <stp>FQ1 2000</stp>
        <stp>FQ1 2000</stp>
        <stp>[FA1_j2ahgkxc.xlsx]Cash Flow - Standardized!R46C7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46" s="4"/>
      </tp>
      <tp>
        <v>69.120999999999995</v>
        <stp/>
        <stp>##V3_BDHV12</stp>
        <stp>AMZN US Equity</stp>
        <stp>BS_GOODWILL</stp>
        <stp>FQ4 2003</stp>
        <stp>FQ4 2003</stp>
        <stp>[FA1_j2ahgkxc.xlsx]Bal Sheet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3"/>
      </tp>
      <tp>
        <v>138.999</v>
        <stp/>
        <stp>##V3_BDHV12</stp>
        <stp>AMZN US Equity</stp>
        <stp>BS_GOODWILL</stp>
        <stp>FQ4 2004</stp>
        <stp>FQ4 2004</stp>
        <stp>[FA1_j2ahgkxc.xlsx]Bal Sheet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3"/>
      </tp>
      <tp>
        <v>34</v>
        <stp/>
        <stp>##V3_BDHV12</stp>
        <stp>AMZN US Equity</stp>
        <stp>BS_CURR_RENTAL_EXPENSE</stp>
        <stp>FQ1 2007</stp>
        <stp>FQ1 2007</stp>
        <stp>[FA1_j2ahgkxc.xlsx]Income - Adjusted!R58C35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8" s="2"/>
      </tp>
      <tp>
        <v>1615.6759999999999</v>
        <stp/>
        <stp>##V3_BDHV12</stp>
        <stp>AMZN US Equity</stp>
        <stp>BS_CUR_ASSET_REPORT</stp>
        <stp>FQ4 2002</stp>
        <stp>FQ4 2002</stp>
        <stp>[FA1_j2ahgkxc.xlsx]Bal Sheet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3"/>
      </tp>
      <tp t="s">
        <v>—</v>
        <stp/>
        <stp>##V3_BDHV12</stp>
        <stp>AMZN US Equity</stp>
        <stp>BS_CURR_RENTAL_EXPENSE</stp>
        <stp>FQ3 2004</stp>
        <stp>FQ3 2004</stp>
        <stp>[FA1_j2ahgkxc.xlsx]Income - Adjusted!R58C25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8" s="2"/>
      </tp>
      <tp t="s">
        <v>—</v>
        <stp/>
        <stp>##V3_BDHV12</stp>
        <stp>AMZN US Equity</stp>
        <stp>BS_CURR_RENTAL_EXPENSE</stp>
        <stp>FQ4 2003</stp>
        <stp>FQ4 2003</stp>
        <stp>[FA1_j2ahgkxc.xlsx]Income - Adjusted!R58C22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8" s="2"/>
      </tp>
      <tp t="s">
        <v>—</v>
        <stp/>
        <stp>##V3_BDHV12</stp>
        <stp>AMZN US Equity</stp>
        <stp>BS_CURR_RENTAL_EXPENSE</stp>
        <stp>FQ4 2000</stp>
        <stp>FQ4 2000</stp>
        <stp>[FA1_j2ahgkxc.xlsx]Income - Adjusted!R58C10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8" s="2"/>
      </tp>
      <tp>
        <v>1207.92</v>
        <stp/>
        <stp>##V3_BDHV12</stp>
        <stp>AMZN US Equity</stp>
        <stp>BS_CUR_ASSET_REPORT</stp>
        <stp>FQ4 2001</stp>
        <stp>FQ4 2001</stp>
        <stp>[FA1_j2ahgkxc.xlsx]Bal Sheet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3"/>
      </tp>
      <tp>
        <v>17</v>
        <stp/>
        <stp>##V3_BDHV12</stp>
        <stp>AMZN US Equity</stp>
        <stp>BS_CURR_RENTAL_EXPENSE</stp>
        <stp>FQ2 2005</stp>
        <stp>FQ2 2005</stp>
        <stp>[FA1_j2ahgkxc.xlsx]Income - Adjusted!R58C28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8" s="2"/>
      </tp>
      <tp>
        <v>1361.1289999999999</v>
        <stp/>
        <stp>##V3_BDHV12</stp>
        <stp>AMZN US Equity</stp>
        <stp>BS_CUR_ASSET_REPORT</stp>
        <stp>FQ4 2000</stp>
        <stp>FQ4 2000</stp>
        <stp>[FA1_j2ahgkxc.xlsx]Bal Sheet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400</v>
        <stp/>
        <stp>##V3_BDHV12</stp>
        <stp>AMZN US Equity</stp>
        <stp>BS_GOODWILL</stp>
        <stp>FQ2 2008</stp>
        <stp>FQ2 2008</stp>
        <stp>[FA1_j2ahgkxc.xlsx]Bal Sheet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3"/>
      </tp>
      <tp t="s">
        <v>—</v>
        <stp/>
        <stp>##V3_BDHV12</stp>
        <stp>AMZN US Equity</stp>
        <stp>IS_CAP_INT_EXP</stp>
        <stp>FQ2 2003</stp>
        <stp>FQ2 2003</stp>
        <stp>[FA1_j2ahgkxc.xlsx]Income - Adjusted!R56C20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6" s="2"/>
      </tp>
      <tp t="s">
        <v>—</v>
        <stp/>
        <stp>##V3_BDHV12</stp>
        <stp>AMZN US Equity</stp>
        <stp>IS_CAP_INT_EXP</stp>
        <stp>FQ3 2001</stp>
        <stp>FQ3 2001</stp>
        <stp>[FA1_j2ahgkxc.xlsx]Income - Adjusted!R56C13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6" s="2"/>
      </tp>
      <tp>
        <v>410.89</v>
        <stp/>
        <stp>##V3_BDHV12</stp>
        <stp>AMZN US Equity</stp>
        <stp>EQY_SH_OUT</stp>
        <stp>FQ2 2005</stp>
        <stp>FQ2 2005</stp>
        <stp>[FA1_j2ahgkxc.xlsx]Stock Value!R13C28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3" s="6"/>
      </tp>
      <tp>
        <v>411.91300000000001</v>
        <stp/>
        <stp>##V3_BDHV12</stp>
        <stp>AMZN US Equity</stp>
        <stp>EQY_SH_OUT</stp>
        <stp>FQ3 2005</stp>
        <stp>FQ3 2005</stp>
        <stp>[FA1_j2ahgkxc.xlsx]Stock Value!R13C29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3" s="6"/>
      </tp>
      <tp t="s">
        <v>—</v>
        <stp/>
        <stp>##V3_BDHV12</stp>
        <stp>AMZN US Equity</stp>
        <stp>IS_CAP_INT_EXP</stp>
        <stp>FQ1 2003</stp>
        <stp>FQ1 2003</stp>
        <stp>[FA1_j2ahgkxc.xlsx]Income - Adjusted!R56C19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6" s="2"/>
      </tp>
      <tp>
        <v>266.27800000000002</v>
        <stp/>
        <stp>##V3_BDHV12</stp>
        <stp>AMZN US Equity</stp>
        <stp>EQTY_BEF_MINORITY_INT_DETAILED</stp>
        <stp>FQ4 1999</stp>
        <stp>FQ4 1999</stp>
        <stp>[FA1_j2ahgkxc.xlsx]Bal Sheet - Standardized!R52C7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2" s="3"/>
      </tp>
      <tp>
        <v>77.537000000000006</v>
        <stp/>
        <stp>##V3_BDHV12</stp>
        <stp>AMZN US Equity</stp>
        <stp>EQTY_BEF_MINORITY_INT_DETAILED</stp>
        <stp>FQ1 1999</stp>
        <stp>FQ1 1999</stp>
        <stp>[FA1_j2ahgkxc.xlsx]Bal Sheet - Standardized!R52C4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2" s="3"/>
      </tp>
      <tp>
        <v>419.92500000000001</v>
        <stp/>
        <stp>##V3_BDHV12</stp>
        <stp>AMZN US Equity</stp>
        <stp>EQTY_BEF_MINORITY_INT_DETAILED</stp>
        <stp>FQ3 1999</stp>
        <stp>FQ3 1999</stp>
        <stp>[FA1_j2ahgkxc.xlsx]Bal Sheet - Standardized!R52C6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2" s="3"/>
      </tp>
      <tp>
        <v>138.745</v>
        <stp/>
        <stp>##V3_BDHV12</stp>
        <stp>AMZN US Equity</stp>
        <stp>EQTY_BEF_MINORITY_INT_DETAILED</stp>
        <stp>FQ4 1998</stp>
        <stp>FQ4 1998</stp>
        <stp>[FA1_j2ahgkxc.xlsx]Bal Sheet - Standardized!R52C3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2" s="3"/>
      </tp>
      <tp>
        <v>571.04600000000005</v>
        <stp/>
        <stp>##V3_BDHV12</stp>
        <stp>AMZN US Equity</stp>
        <stp>EQTY_BEF_MINORITY_INT_DETAILED</stp>
        <stp>FQ2 1999</stp>
        <stp>FQ2 1999</stp>
        <stp>[FA1_j2ahgkxc.xlsx]Bal Sheet - Standardized!R52C5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2" s="3"/>
      </tp>
      <tp t="s">
        <v>—</v>
        <stp/>
        <stp>##V3_BDHV12</stp>
        <stp>AMZN US Equity</stp>
        <stp>CASH_FLOW_TO_NET_INC</stp>
        <stp>FQ4 1999</stp>
        <stp>FQ4 1999</stp>
        <stp>[FA1_j2ahgkxc.xlsx]Cash Flow - Standardized!R54C6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4" s="4"/>
      </tp>
      <tp>
        <v>15.086</v>
        <stp/>
        <stp>##V3_BDHV12</stp>
        <stp>AMZN US Equity</stp>
        <stp>CF_INCR_CAP_STOCK</stp>
        <stp>FQ2 1999</stp>
        <stp>FQ2 1999</stp>
        <stp>[FA1_j2ahgkxc.xlsx]Cash Flow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4"/>
      </tp>
      <tp>
        <v>15.304</v>
        <stp/>
        <stp>##V3_BDHV12</stp>
        <stp>AMZN US Equity</stp>
        <stp>CF_INCR_CAP_STOCK</stp>
        <stp>FQ3 1999</stp>
        <stp>FQ3 1999</stp>
        <stp>[FA1_j2ahgkxc.xlsx]Cash Flow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4"/>
      </tp>
      <tp>
        <v>-62</v>
        <stp/>
        <stp>##V3_BDHV12</stp>
        <stp>AMZN US Equity</stp>
        <stp>CHG_IN_FXD_&amp;_INTANG_AST_DETAILED</stp>
        <stp>FQ3 2006</stp>
        <stp>FQ3 2006</stp>
        <stp>[FA1_j2ahgkxc.xlsx]Cash Flow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4"/>
      </tp>
      <tp>
        <v>-4.8540000000000001</v>
        <stp/>
        <stp>##V3_BDHV12</stp>
        <stp>AMZN US Equity</stp>
        <stp>CHG_IN_FXD_&amp;_INTANG_AST_DETAILED</stp>
        <stp>FQ1 2002</stp>
        <stp>FQ1 2002</stp>
        <stp>[FA1_j2ahgkxc.xlsx]Cash Flow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4"/>
      </tp>
      <tp>
        <v>-7.141</v>
        <stp/>
        <stp>##V3_BDHV12</stp>
        <stp>AMZN US Equity</stp>
        <stp>CHG_IN_FXD_&amp;_INTANG_AST_DETAILED</stp>
        <stp>FQ2 2003</stp>
        <stp>FQ2 2003</stp>
        <stp>[FA1_j2ahgkxc.xlsx]Cash Flow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4"/>
      </tp>
      <tp>
        <v>-19.437000000000001</v>
        <stp/>
        <stp>##V3_BDHV12</stp>
        <stp>AMZN US Equity</stp>
        <stp>CHG_IN_FXD_&amp;_INTANG_AST_DETAILED</stp>
        <stp>FQ1 2001</stp>
        <stp>FQ1 2001</stp>
        <stp>[FA1_j2ahgkxc.xlsx]Cash Flow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4"/>
      </tp>
      <tp>
        <v>6.54</v>
        <stp/>
        <stp>##V3_BDHV12</stp>
        <stp>AMZN US Equity</stp>
        <stp>CF_INCR_CAP_STOCK</stp>
        <stp>FQ1 1999</stp>
        <stp>FQ1 1999</stp>
        <stp>[FA1_j2ahgkxc.xlsx]Cash Flow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4"/>
      </tp>
      <tp>
        <v>27.539000000000001</v>
        <stp/>
        <stp>##V3_BDHV12</stp>
        <stp>AMZN US Equity</stp>
        <stp>CF_INCR_CAP_STOCK</stp>
        <stp>FQ4 1999</stp>
        <stp>FQ4 1999</stp>
        <stp>[FA1_j2ahgkxc.xlsx]Cash Flow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4"/>
      </tp>
      <tp>
        <v>-69</v>
        <stp/>
        <stp>##V3_BDHV12</stp>
        <stp>AMZN US Equity</stp>
        <stp>CHG_IN_FXD_&amp;_INTANG_AST_DETAILED</stp>
        <stp>FQ3 2007</stp>
        <stp>FQ3 2007</stp>
        <stp>[FA1_j2ahgkxc.xlsx]Cash Flow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4"/>
      </tp>
      <tp>
        <v>-14.143000000000001</v>
        <stp/>
        <stp>##V3_BDHV12</stp>
        <stp>AMZN US Equity</stp>
        <stp>CHG_IN_FXD_&amp;_INTANG_AST_DETAILED</stp>
        <stp>FQ2 2004</stp>
        <stp>FQ2 2004</stp>
        <stp>[FA1_j2ahgkxc.xlsx]Cash Flow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4"/>
      </tp>
      <tp>
        <v>-46</v>
        <stp/>
        <stp>##V3_BDHV12</stp>
        <stp>AMZN US Equity</stp>
        <stp>CHG_IN_FXD_&amp;_INTANG_AST_DETAILED</stp>
        <stp>FQ2 2005</stp>
        <stp>FQ2 2005</stp>
        <stp>[FA1_j2ahgkxc.xlsx]Cash Flow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4"/>
      </tp>
      <tp>
        <v>304</v>
        <stp/>
        <stp>##V3_BDHV12</stp>
        <stp>AMZN US Equity</stp>
        <stp>PRETAX_INC</stp>
        <stp>FQ4 2008</stp>
        <stp>FQ4 2008</stp>
        <stp>[FA1_j2ahgkxc.xlsx]Income - Adjusted!R17C42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7" s="2"/>
      </tp>
      <tp>
        <v>2.6509999999999998</v>
        <stp/>
        <stp>##V3_BDHV12</stp>
        <stp>AMZN US Equity</stp>
        <stp>PRETAX_INC</stp>
        <stp>FQ4 2002</stp>
        <stp>FQ4 2002</stp>
        <stp>[FA1_j2ahgkxc.xlsx]Income - Adjusted!R17C18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7" s="2"/>
      </tp>
      <tp>
        <v>-10.121</v>
        <stp/>
        <stp>##V3_BDHV12</stp>
        <stp>AMZN US Equity</stp>
        <stp>PRETAX_INC</stp>
        <stp>FQ1 2003</stp>
        <stp>FQ1 2003</stp>
        <stp>[FA1_j2ahgkxc.xlsx]Income - Adjusted!R17C19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7" s="2"/>
      </tp>
      <tp>
        <v>-101</v>
        <stp/>
        <stp>##V3_BDHV12</stp>
        <stp>AMZN US Equity</stp>
        <stp>CHG_IN_FXD_&amp;_INTANG_AST_DETAILED</stp>
        <stp>FQ4 2008</stp>
        <stp>FQ4 2008</stp>
        <stp>[FA1_j2ahgkxc.xlsx]Cash Flow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4"/>
      </tp>
      <tp>
        <v>-6.3940000000000001</v>
        <stp/>
        <stp>##V3_BDHV12</stp>
        <stp>AMZN US Equity</stp>
        <stp>CHG_IN_FXD_&amp;_INTANG_AST_DETAILED</stp>
        <stp>FQ1 2003</stp>
        <stp>FQ1 2003</stp>
        <stp>[FA1_j2ahgkxc.xlsx]Cash Flow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4"/>
      </tp>
      <tp>
        <v>345.15499999999997</v>
        <stp/>
        <stp>##V3_BDHV12</stp>
        <stp>AMZN US Equity</stp>
        <stp>BS_SH_OUT</stp>
        <stp>FQ4 1999</stp>
        <stp>FQ4 1999</stp>
        <stp>[FA1_j2ahgkxc.xlsx]Bal Sheet - Standardized!R59C7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9" s="3"/>
      </tp>
      <tp>
        <v>-0.59</v>
        <stp/>
        <stp>##V3_BDHV12</stp>
        <stp>AMZN US Equity</stp>
        <stp>IS_DIL_EPS_BEF_XO</stp>
        <stp>FQ3 1999</stp>
        <stp>FQ3 1999</stp>
        <stp>[FA1_j2ahgkxc.xlsx]Per Share!R18C6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8" s="5"/>
      </tp>
      <tp>
        <v>-0.2</v>
        <stp/>
        <stp>##V3_BDHV12</stp>
        <stp>AMZN US Equity</stp>
        <stp>IS_DIL_EPS_BEF_XO</stp>
        <stp>FQ1 1999</stp>
        <stp>FQ1 1999</stp>
        <stp>[FA1_j2ahgkxc.xlsx]Per Share!R18C4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8" s="5"/>
      </tp>
      <tp>
        <v>1.3698000000000001</v>
        <stp/>
        <stp>##V3_BDHV12</stp>
        <stp>AMZN US Equity</stp>
        <stp>CUR_RATIO</stp>
        <stp>FQ4 1999</stp>
        <stp>FQ4 1999</stp>
        <stp>[FA1_j2ahgkxc.xlsx]Bal Sheet - Standardized!R68C7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8" s="3"/>
      </tp>
      <tp>
        <v>413</v>
        <stp/>
        <stp>##V3_BDHV12</stp>
        <stp>AMZN US Equity</stp>
        <stp>BS_SH_OUT</stp>
        <stp>FQ2 2007</stp>
        <stp>FQ2 2007</stp>
        <stp>[FA1_j2ahgkxc.xlsx]Per Share!R6C36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5"/>
      </tp>
      <tp>
        <v>415</v>
        <stp/>
        <stp>##V3_BDHV12</stp>
        <stp>AMZN US Equity</stp>
        <stp>BS_SH_OUT</stp>
        <stp>FQ3 2007</stp>
        <stp>FQ3 2007</stp>
        <stp>[FA1_j2ahgkxc.xlsx]Per Share!R6C37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5"/>
      </tp>
      <tp>
        <v>409</v>
        <stp/>
        <stp>##V3_BDHV12</stp>
        <stp>AMZN US Equity</stp>
        <stp>BS_SH_OUT</stp>
        <stp>FQ1 2007</stp>
        <stp>FQ1 2007</stp>
        <stp>[FA1_j2ahgkxc.xlsx]Per Share!R6C35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5"/>
      </tp>
      <tp>
        <v>411</v>
        <stp/>
        <stp>##V3_BDHV12</stp>
        <stp>AMZN US Equity</stp>
        <stp>BS_SH_OUT</stp>
        <stp>FQ1 2005</stp>
        <stp>FQ1 2005</stp>
        <stp>[FA1_j2ahgkxc.xlsx]Per Share!R6C27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5"/>
      </tp>
      <tp>
        <v>-7.1193</v>
        <stp/>
        <stp>##V3_BDHV12</stp>
        <stp>AMZN US Equity</stp>
        <stp>OPER_MARGIN</stp>
        <stp>FQ4 1998</stp>
        <stp>FQ4 1998</stp>
        <stp>[FA1_j2ahgkxc.xlsx]Income - Adjusted!R51C3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1" s="2"/>
      </tp>
      <tp>
        <v>0</v>
        <stp/>
        <stp>##V3_BDHV12</stp>
        <stp>AMZN US Equity</stp>
        <stp>XO_GL_NET_OF_TAX</stp>
        <stp>FQ3 2008</stp>
        <stp>FQ3 2008</stp>
        <stp>[FA1_j2ahgkxc.xlsx]Income - Adjusted!R32C41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2"/>
      </tp>
      <tp>
        <v>0</v>
        <stp/>
        <stp>##V3_BDHV12</stp>
        <stp>AMZN US Equity</stp>
        <stp>XO_GL_NET_OF_TAX</stp>
        <stp>FQ3 2008</stp>
        <stp>FQ3 2008</stp>
        <stp>[FA1_j2ahgkxc.xlsx]Income - Adjusted!R23C41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2"/>
      </tp>
      <tp t="s">
        <v>—</v>
        <stp/>
        <stp>##V3_BDHV12</stp>
        <stp>AMZN US Equity</stp>
        <stp>LONG_TERM_BORROWINGS_DETAILED</stp>
        <stp>FQ3 2002</stp>
        <stp>FQ3 2002</stp>
        <stp>[FA1_j2ahgkxc.xlsx]Bal Sheet - Standardized!R41C17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1" s="3"/>
      </tp>
      <tp t="s">
        <v>—</v>
        <stp/>
        <stp>##V3_BDHV12</stp>
        <stp>AMZN US Equity</stp>
        <stp>LONG_TERM_BORROWINGS_DETAILED</stp>
        <stp>FQ1 2006</stp>
        <stp>FQ1 2006</stp>
        <stp>[FA1_j2ahgkxc.xlsx]Bal Sheet - Standardized!R41C31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1" s="3"/>
      </tp>
      <tp t="s">
        <v>—</v>
        <stp/>
        <stp>##V3_BDHV12</stp>
        <stp>AMZN US Equity</stp>
        <stp>LONG_TERM_BORROWINGS_DETAILED</stp>
        <stp>FQ1 2007</stp>
        <stp>FQ1 2007</stp>
        <stp>[FA1_j2ahgkxc.xlsx]Bal Sheet - Standardized!R41C35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1" s="3"/>
      </tp>
      <tp t="s">
        <v>—</v>
        <stp/>
        <stp>##V3_BDHV12</stp>
        <stp>AMZN US Equity</stp>
        <stp>LONG_TERM_BORROWINGS_DETAILED</stp>
        <stp>FQ3 2001</stp>
        <stp>FQ3 2001</stp>
        <stp>[FA1_j2ahgkxc.xlsx]Bal Sheet - Standardized!R41C13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1" s="3"/>
      </tp>
      <tp t="s">
        <v>—</v>
        <stp/>
        <stp>##V3_BDHV12</stp>
        <stp>AMZN US Equity</stp>
        <stp>LONG_TERM_BORROWINGS_DETAILED</stp>
        <stp>FQ1 2008</stp>
        <stp>FQ1 2008</stp>
        <stp>[FA1_j2ahgkxc.xlsx]Bal Sheet - Standardized!R41C39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1" s="3"/>
      </tp>
      <tp>
        <v>470.57900000000001</v>
        <stp/>
        <stp>##V3_BDHV12</stp>
        <stp>AMZN US Equity</stp>
        <stp>IS_COGS_TO_FE_AND_PP_AND_G</stp>
        <stp>FQ3 2000</stp>
        <stp>FQ3 2000</stp>
        <stp>[FA1_j2ahgkxc.xlsx]Income - Adjusted!R7C9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>
        <v>172.25700000000001</v>
        <stp/>
        <stp>##V3_BDHV12</stp>
        <stp>AMZN US Equity</stp>
        <stp>BS_INVENTORIES</stp>
        <stp>FQ1 2000</stp>
        <stp>FQ1 2000</stp>
        <stp>[FA1_j2ahgkxc.xlsx]Bal Sheet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3"/>
      </tp>
      <tp>
        <v>39</v>
        <stp/>
        <stp>##V3_BDHV12</stp>
        <stp>AMZN US Equity</stp>
        <stp>BS_CURR_RENTAL_EXPENSE</stp>
        <stp>FQ1 2006</stp>
        <stp>FQ1 2006</stp>
        <stp>[FA1_j2ahgkxc.xlsx]Income - Adjusted!R58C31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8" s="2"/>
      </tp>
      <tp t="s">
        <v>—</v>
        <stp/>
        <stp>##V3_BDHV12</stp>
        <stp>AMZN US Equity</stp>
        <stp>BS_CURR_RENTAL_EXPENSE</stp>
        <stp>FQ4 2001</stp>
        <stp>FQ4 2001</stp>
        <stp>[FA1_j2ahgkxc.xlsx]Income - Adjusted!R58C14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8" s="2"/>
      </tp>
      <tp>
        <v>195</v>
        <stp/>
        <stp>##V3_BDHV12</stp>
        <stp>AMZN US Equity</stp>
        <stp>BS_GOODWILL</stp>
        <stp>FQ4 2006</stp>
        <stp>FQ4 2006</stp>
        <stp>[FA1_j2ahgkxc.xlsx]Bal Sheet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3"/>
      </tp>
      <tp>
        <v>163.88</v>
        <stp/>
        <stp>##V3_BDHV12</stp>
        <stp>AMZN US Equity</stp>
        <stp>BS_INVENTORIES</stp>
        <stp>FQ3 2000</stp>
        <stp>FQ3 2000</stp>
        <stp>[FA1_j2ahgkxc.xlsx]Bal Sheet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159</v>
        <stp/>
        <stp>##V3_BDHV12</stp>
        <stp>AMZN US Equity</stp>
        <stp>BS_GOODWILL</stp>
        <stp>FQ4 2005</stp>
        <stp>FQ4 2005</stp>
        <stp>[FA1_j2ahgkxc.xlsx]Bal Sheet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3"/>
      </tp>
      <tp t="s">
        <v>—</v>
        <stp/>
        <stp>##V3_BDHV12</stp>
        <stp>AMZN US Equity</stp>
        <stp>BS_CURR_RENTAL_EXPENSE</stp>
        <stp>FQ2 2004</stp>
        <stp>FQ2 2004</stp>
        <stp>[FA1_j2ahgkxc.xlsx]Income - Adjusted!R58C24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8" s="2"/>
      </tp>
      <tp>
        <v>20</v>
        <stp/>
        <stp>##V3_BDHV12</stp>
        <stp>AMZN US Equity</stp>
        <stp>BS_CURR_RENTAL_EXPENSE</stp>
        <stp>FQ3 2005</stp>
        <stp>FQ3 2005</stp>
        <stp>[FA1_j2ahgkxc.xlsx]Income - Adjusted!R58C29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8" s="2"/>
      </tp>
      <tp>
        <v>222</v>
        <stp/>
        <stp>##V3_BDHV12</stp>
        <stp>AMZN US Equity</stp>
        <stp>BS_GOODWILL</stp>
        <stp>FQ4 2007</stp>
        <stp>FQ4 2007</stp>
        <stp>[FA1_j2ahgkxc.xlsx]Bal Sheet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3"/>
      </tp>
      <tp>
        <v>405</v>
        <stp/>
        <stp>##V3_BDHV12</stp>
        <stp>AMZN US Equity</stp>
        <stp>BS_GOODWILL</stp>
        <stp>FQ3 2008</stp>
        <stp>FQ3 2008</stp>
        <stp>[FA1_j2ahgkxc.xlsx]Bal Sheet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3"/>
      </tp>
      <tp t="s">
        <v>—</v>
        <stp/>
        <stp>##V3_BDHV12</stp>
        <stp>AMZN US Equity</stp>
        <stp>IS_CAP_INT_EXP</stp>
        <stp>FQ2 2001</stp>
        <stp>FQ2 2001</stp>
        <stp>[FA1_j2ahgkxc.xlsx]Income - Adjusted!R56C12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6" s="2"/>
      </tp>
      <tp t="s">
        <v>—</v>
        <stp/>
        <stp>##V3_BDHV12</stp>
        <stp>AMZN US Equity</stp>
        <stp>IS_CAP_INT_EXP</stp>
        <stp>FQ3 2003</stp>
        <stp>FQ3 2003</stp>
        <stp>[FA1_j2ahgkxc.xlsx]Income - Adjusted!R56C21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6" s="2"/>
      </tp>
      <tp t="s">
        <v>—</v>
        <stp/>
        <stp>##V3_BDHV12</stp>
        <stp>AMZN US Equity</stp>
        <stp>IS_CAP_INT_EXP</stp>
        <stp>FQ4 2004</stp>
        <stp>FQ4 2004</stp>
        <stp>[FA1_j2ahgkxc.xlsx]Income - Adjusted!R56C26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6" s="2"/>
      </tp>
      <tp t="s">
        <v>—</v>
        <stp/>
        <stp>##V3_BDHV12</stp>
        <stp>AMZN US Equity</stp>
        <stp>IS_CAP_INT_EXP</stp>
        <stp>FQ1 2002</stp>
        <stp>FQ1 2002</stp>
        <stp>[FA1_j2ahgkxc.xlsx]Income - Adjusted!R56C15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6" s="2"/>
      </tp>
      <tp t="s">
        <v>—</v>
        <stp/>
        <stp>##V3_BDHV12</stp>
        <stp>AMZN US Equity</stp>
        <stp>IS_CAP_INT_EXP</stp>
        <stp>FQ4 2005</stp>
        <stp>FQ4 2005</stp>
        <stp>[FA1_j2ahgkxc.xlsx]Income - Adjusted!R56C30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6" s="2"/>
      </tp>
      <tp>
        <v>-0.93159999999999998</v>
        <stp/>
        <stp>##V3_BDHV12</stp>
        <stp>AMZN US Equity</stp>
        <stp>CASH_FLOW_PER_SH</stp>
        <stp>FQ1 2000</stp>
        <stp>FQ1 2000</stp>
        <stp>[FA1_j2ahgkxc.xlsx]Per Share!R22C8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2" s="5"/>
      </tp>
      <tp>
        <v>0</v>
        <stp/>
        <stp>##V3_BDHV12</stp>
        <stp>AMZN US Equity</stp>
        <stp>DISP_FXD_&amp;_INTANGIBLES_DETAILED</stp>
        <stp>FQ4 1999</stp>
        <stp>FQ4 1999</stp>
        <stp>[FA1_j2ahgkxc.xlsx]Cash Flow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4"/>
      </tp>
      <tp>
        <v>0</v>
        <stp/>
        <stp>##V3_BDHV12</stp>
        <stp>AMZN US Equity</stp>
        <stp>DISP_FXD_&amp;_INTANGIBLES_DETAILED</stp>
        <stp>FQ1 1999</stp>
        <stp>FQ1 1999</stp>
        <stp>[FA1_j2ahgkxc.xlsx]Cash Flow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4"/>
      </tp>
      <tp>
        <v>5.5457000000000001</v>
        <stp/>
        <stp>##V3_BDHV12</stp>
        <stp>AMZN US Equity</stp>
        <stp>EBITDA_MARGIN</stp>
        <stp>FQ4 2006</stp>
        <stp>FQ4 2006</stp>
        <stp>[FA1_j2ahgkxc.xlsx]Cash Flow - Standardized!R46C34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46" s="4"/>
      </tp>
      <tp>
        <v>6.3494000000000002</v>
        <stp/>
        <stp>##V3_BDHV12</stp>
        <stp>AMZN US Equity</stp>
        <stp>EBITDA_MARGIN</stp>
        <stp>FQ1 2006</stp>
        <stp>FQ1 2006</stp>
        <stp>[FA1_j2ahgkxc.xlsx]Cash Flow - Standardized!R46C31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46" s="4"/>
      </tp>
      <tp>
        <v>5.6521999999999997</v>
        <stp/>
        <stp>##V3_BDHV12</stp>
        <stp>AMZN US Equity</stp>
        <stp>EBITDA_MARGIN</stp>
        <stp>FQ2 2006</stp>
        <stp>FQ2 2006</stp>
        <stp>[FA1_j2ahgkxc.xlsx]Cash Flow - Standardized!R46C32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46" s="4"/>
      </tp>
      <tp>
        <v>5.5762</v>
        <stp/>
        <stp>##V3_BDHV12</stp>
        <stp>AMZN US Equity</stp>
        <stp>EBITDA_MARGIN</stp>
        <stp>FQ3 2006</stp>
        <stp>FQ3 2006</stp>
        <stp>[FA1_j2ahgkxc.xlsx]Cash Flow - Standardized!R46C33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46" s="4"/>
      </tp>
      <tp>
        <v>0</v>
        <stp/>
        <stp>##V3_BDHV12</stp>
        <stp>AMZN US Equity</stp>
        <stp>DISP_FXD_&amp;_INTANGIBLES_DETAILED</stp>
        <stp>FQ2 1999</stp>
        <stp>FQ2 1999</stp>
        <stp>[FA1_j2ahgkxc.xlsx]Cash Flow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4"/>
      </tp>
      <tp>
        <v>0</v>
        <stp/>
        <stp>##V3_BDHV12</stp>
        <stp>AMZN US Equity</stp>
        <stp>DISP_FXD_&amp;_INTANGIBLES_DETAILED</stp>
        <stp>FQ3 1999</stp>
        <stp>FQ3 1999</stp>
        <stp>[FA1_j2ahgkxc.xlsx]Cash Flow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4"/>
      </tp>
      <tp>
        <v>59</v>
        <stp/>
        <stp>##V3_BDHV12</stp>
        <stp>AMZN US Equity</stp>
        <stp>IS_INC_TAX_EXP</stp>
        <stp>FQ3 2008</stp>
        <stp>FQ3 2008</stp>
        <stp>[FA1_j2ahgkxc.xlsx]Income - Adjusted!R21C41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1" s="2"/>
      </tp>
      <tp>
        <v>5.0869999999999997</v>
        <stp/>
        <stp>##V3_BDHV12</stp>
        <stp>AMZN US Equity</stp>
        <stp>PRETAX_INC</stp>
        <stp>FQ4 2001</stp>
        <stp>FQ4 2001</stp>
        <stp>[FA1_j2ahgkxc.xlsx]Income - Adjusted!R17C14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7" s="2"/>
      </tp>
      <tp>
        <v>161</v>
        <stp/>
        <stp>##V3_BDHV12</stp>
        <stp>AMZN US Equity</stp>
        <stp>PRETAX_INC</stp>
        <stp>FQ4 2005</stp>
        <stp>FQ4 2005</stp>
        <stp>[FA1_j2ahgkxc.xlsx]Income - Adjusted!R17C30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7" s="2"/>
      </tp>
      <tp>
        <v>38</v>
        <stp/>
        <stp>##V3_BDHV12</stp>
        <stp>AMZN US Equity</stp>
        <stp>PRETAX_INC</stp>
        <stp>FQ3 2006</stp>
        <stp>FQ3 2006</stp>
        <stp>[FA1_j2ahgkxc.xlsx]Income - Adjusted!R17C33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7" s="2"/>
      </tp>
      <tp>
        <v>-35.08</v>
        <stp/>
        <stp>##V3_BDHV12</stp>
        <stp>AMZN US Equity</stp>
        <stp>PRETAX_INC</stp>
        <stp>FQ3 2002</stp>
        <stp>FQ3 2002</stp>
        <stp>[FA1_j2ahgkxc.xlsx]Income - Adjusted!R17C17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7" s="2"/>
      </tp>
      <tp>
        <v>-0.68</v>
        <stp/>
        <stp>##V3_BDHV12</stp>
        <stp>AMZN US Equity</stp>
        <stp>IS_DIL_EPS_BEF_XO</stp>
        <stp>FQ3 2000</stp>
        <stp>FQ3 2000</stp>
        <stp>[FA1_j2ahgkxc.xlsx]Per Share!R18C9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8" s="5"/>
      </tp>
      <tp>
        <v>-308.42500000000001</v>
        <stp/>
        <stp>##V3_BDHV12</stp>
        <stp>AMZN US Equity</stp>
        <stp>CF_NET_INC</stp>
        <stp>FQ1 2000</stp>
        <stp>FQ1 2000</stp>
        <stp>[FA1_j2ahgkxc.xlsx]Cash Flow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4"/>
      </tp>
      <tp>
        <v>-317.18400000000003</v>
        <stp/>
        <stp>##V3_BDHV12</stp>
        <stp>AMZN US Equity</stp>
        <stp>CF_NET_INC</stp>
        <stp>FQ2 2000</stp>
        <stp>FQ2 2000</stp>
        <stp>[FA1_j2ahgkxc.xlsx]Cash Flow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-240.524</v>
        <stp/>
        <stp>##V3_BDHV12</stp>
        <stp>AMZN US Equity</stp>
        <stp>CF_NET_INC</stp>
        <stp>FQ3 2000</stp>
        <stp>FQ3 2000</stp>
        <stp>[FA1_j2ahgkxc.xlsx]Cash Flow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4"/>
      </tp>
      <tp>
        <v>2</v>
        <stp/>
        <stp>##V3_BDHV12</stp>
        <stp>AMZN US Equity</stp>
        <stp>CF_CASH_PAID_FOR_TAX</stp>
        <stp>FQ4 2005</stp>
        <stp>FQ4 2005</stp>
        <stp>[FA1_j2ahgkxc.xlsx]Cash Flow - Standardized!R41C30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1" s="4"/>
      </tp>
      <tp>
        <v>0</v>
        <stp/>
        <stp>##V3_BDHV12</stp>
        <stp>AMZN US Equity</stp>
        <stp>XO_GL_NET_OF_TAX</stp>
        <stp>FQ4 2007</stp>
        <stp>FQ4 2007</stp>
        <stp>[FA1_j2ahgkxc.xlsx]Income - Adjusted!R32C38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2"/>
      </tp>
      <tp>
        <v>0</v>
        <stp/>
        <stp>##V3_BDHV12</stp>
        <stp>AMZN US Equity</stp>
        <stp>XO_GL_NET_OF_TAX</stp>
        <stp>FQ4 2007</stp>
        <stp>FQ4 2007</stp>
        <stp>[FA1_j2ahgkxc.xlsx]Income - Adjusted!R23C38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2"/>
      </tp>
      <tp>
        <v>0</v>
        <stp/>
        <stp>##V3_BDHV12</stp>
        <stp>AMZN US Equity</stp>
        <stp>INVTRY_RAW_MATERIALS</stp>
        <stp>FQ1 2000</stp>
        <stp>FQ1 2000</stp>
        <stp>[FA1_j2ahgkxc.xlsx]Bal Sheet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3"/>
      </tp>
      <tp>
        <v>0</v>
        <stp/>
        <stp>##V3_BDHV12</stp>
        <stp>AMZN US Equity</stp>
        <stp>INVTRY_RAW_MATERIALS</stp>
        <stp>FQ3 2000</stp>
        <stp>FQ3 2000</stp>
        <stp>[FA1_j2ahgkxc.xlsx]Bal Sheet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3"/>
      </tp>
      <tp>
        <v>2</v>
        <stp/>
        <stp>##V3_BDHV12</stp>
        <stp>AMZN US Equity</stp>
        <stp>CF_CASH_PAID_FOR_TAX</stp>
        <stp>FQ4 2006</stp>
        <stp>FQ4 2006</stp>
        <stp>[FA1_j2ahgkxc.xlsx]Cash Flow - Standardized!R41C34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1" s="4"/>
      </tp>
      <tp>
        <v>0</v>
        <stp/>
        <stp>##V3_BDHV12</stp>
        <stp>AMZN US Equity</stp>
        <stp>XO_GL_NET_OF_TAX</stp>
        <stp>FQ3 2002</stp>
        <stp>FQ3 2002</stp>
        <stp>[FA1_j2ahgkxc.xlsx]Income - Adjusted!R32C17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2"/>
      </tp>
      <tp>
        <v>0</v>
        <stp/>
        <stp>##V3_BDHV12</stp>
        <stp>AMZN US Equity</stp>
        <stp>XO_GL_NET_OF_TAX</stp>
        <stp>FQ3 2002</stp>
        <stp>FQ3 2002</stp>
        <stp>[FA1_j2ahgkxc.xlsx]Income - Adjusted!R23C17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2"/>
      </tp>
      <tp>
        <v>10</v>
        <stp/>
        <stp>##V3_BDHV12</stp>
        <stp>AMZN US Equity</stp>
        <stp>CF_CASH_PAID_FOR_TAX</stp>
        <stp>FQ4 2007</stp>
        <stp>FQ4 2007</stp>
        <stp>[FA1_j2ahgkxc.xlsx]Cash Flow - Standardized!R41C38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1" s="4"/>
      </tp>
      <tp>
        <v>5</v>
        <stp/>
        <stp>##V3_BDHV12</stp>
        <stp>AMZN US Equity</stp>
        <stp>CF_CASH_PAID_FOR_TAX</stp>
        <stp>FQ3 2008</stp>
        <stp>FQ3 2008</stp>
        <stp>[FA1_j2ahgkxc.xlsx]Cash Flow - Standardized!R41C41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1" s="4"/>
      </tp>
      <tp>
        <v>57.174999999999997</v>
        <stp/>
        <stp>##V3_BDHV12</stp>
        <stp>AMZN US Equity</stp>
        <stp>OTHER_CURRENT_ASSETS_DETAILED</stp>
        <stp>FQ1 2001</stp>
        <stp>FQ1 2001</stp>
        <stp>[FA1_j2ahgkxc.xlsx]Bal Sheet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84.375</v>
        <stp/>
        <stp>##V3_BDHV12</stp>
        <stp>AMZN US Equity</stp>
        <stp>OTHER_CURRENT_ASSETS_DETAILED</stp>
        <stp>FQ2 2003</stp>
        <stp>FQ2 2003</stp>
        <stp>[FA1_j2ahgkxc.xlsx]Bal Sheet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3"/>
      </tp>
      <tp>
        <v>-67</v>
        <stp/>
        <stp>##V3_BDHV12</stp>
        <stp>AMZN US Equity</stp>
        <stp>OTHER_INVESTING_ACT_DETAILED</stp>
        <stp>FQ4 2007</stp>
        <stp>FQ4 2007</stp>
        <stp>[FA1_j2ahgkxc.xlsx]Cash Flow - Standardized!R27C38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4"/>
      </tp>
      <tp>
        <v>96</v>
        <stp/>
        <stp>##V3_BDHV12</stp>
        <stp>AMZN US Equity</stp>
        <stp>OTHER_INVESTING_ACT_DETAILED</stp>
        <stp>FQ3 2008</stp>
        <stp>FQ3 2008</stp>
        <stp>[FA1_j2ahgkxc.xlsx]Cash Flow - Standardized!R27C41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4"/>
      </tp>
      <tp>
        <v>71</v>
        <stp/>
        <stp>##V3_BDHV12</stp>
        <stp>AMZN US Equity</stp>
        <stp>OTHER_CURRENT_ASSETS_DETAILED</stp>
        <stp>FQ3 2007</stp>
        <stp>FQ3 2007</stp>
        <stp>[FA1_j2ahgkxc.xlsx]Bal Sheet - Standardized!R17C37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3"/>
      </tp>
      <tp>
        <v>125.64700000000001</v>
        <stp/>
        <stp>##V3_BDHV12</stp>
        <stp>AMZN US Equity</stp>
        <stp>OTHER_CURRENT_ASSETS_DETAILED</stp>
        <stp>FQ2 2004</stp>
        <stp>FQ2 2004</stp>
        <stp>[FA1_j2ahgkxc.xlsx]Bal Sheet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3"/>
      </tp>
      <tp>
        <v>93.489000000000004</v>
        <stp/>
        <stp>##V3_BDHV12</stp>
        <stp>AMZN US Equity</stp>
        <stp>CF_CASH_FROM_INV_ACT</stp>
        <stp>FQ4 2003</stp>
        <stp>FQ4 2003</stp>
        <stp>[FA1_j2ahgkxc.xlsx]Cash Flow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4"/>
      </tp>
      <tp>
        <v>-65.436999999999998</v>
        <stp/>
        <stp>##V3_BDHV12</stp>
        <stp>AMZN US Equity</stp>
        <stp>CF_CASH_FROM_INV_ACT</stp>
        <stp>FQ4 2004</stp>
        <stp>FQ4 2004</stp>
        <stp>[FA1_j2ahgkxc.xlsx]Cash Flow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4"/>
      </tp>
      <tp>
        <v>79</v>
        <stp/>
        <stp>##V3_BDHV12</stp>
        <stp>AMZN US Equity</stp>
        <stp>OTHER_CURRENT_ASSETS_DETAILED</stp>
        <stp>FQ3 2006</stp>
        <stp>FQ3 2006</stp>
        <stp>[FA1_j2ahgkxc.xlsx]Bal Sheet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3"/>
      </tp>
      <tp>
        <v>70.019000000000005</v>
        <stp/>
        <stp>##V3_BDHV12</stp>
        <stp>AMZN US Equity</stp>
        <stp>OTHER_CURRENT_ASSETS_DETAILED</stp>
        <stp>FQ1 2002</stp>
        <stp>FQ1 2002</stp>
        <stp>[FA1_j2ahgkxc.xlsx]Bal Sheet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3"/>
      </tp>
      <tp>
        <v>228.852</v>
        <stp/>
        <stp>##V3_BDHV12</stp>
        <stp>AMZN US Equity</stp>
        <stp>IS_COGS_TO_FE_AND_PP_AND_G</stp>
        <stp>FQ1 1999</stp>
        <stp>FQ1 1999</stp>
        <stp>[FA1_j2ahgkxc.xlsx]Income - Adjusted!R7C4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88.914000000000001</v>
        <stp/>
        <stp>##V3_BDHV12</stp>
        <stp>AMZN US Equity</stp>
        <stp>OTHER_CURRENT_ASSETS_DETAILED</stp>
        <stp>FQ1 2003</stp>
        <stp>FQ1 2003</stp>
        <stp>[FA1_j2ahgkxc.xlsx]Bal Sheet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3"/>
      </tp>
      <tp>
        <v>-301</v>
        <stp/>
        <stp>##V3_BDHV12</stp>
        <stp>AMZN US Equity</stp>
        <stp>OTHER_INVESTING_ACT_DETAILED</stp>
        <stp>FQ4 2005</stp>
        <stp>FQ4 2005</stp>
        <stp>[FA1_j2ahgkxc.xlsx]Cash Flow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4"/>
      </tp>
      <tp>
        <v>285.3</v>
        <stp/>
        <stp>##V3_BDHV12</stp>
        <stp>AMZN US Equity</stp>
        <stp>IS_COGS_TO_FE_AND_PP_AND_G</stp>
        <stp>FQ3 1999</stp>
        <stp>FQ3 1999</stp>
        <stp>[FA1_j2ahgkxc.xlsx]Income - Adjusted!R7C6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-301</v>
        <stp/>
        <stp>##V3_BDHV12</stp>
        <stp>AMZN US Equity</stp>
        <stp>CF_CASH_FROM_INV_ACT</stp>
        <stp>FQ2 2008</stp>
        <stp>FQ2 2008</stp>
        <stp>[FA1_j2ahgkxc.xlsx]Cash Flow - Standardized!R28C40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4"/>
      </tp>
      <tp>
        <v>-473</v>
        <stp/>
        <stp>##V3_BDHV12</stp>
        <stp>AMZN US Equity</stp>
        <stp>OTHER_INVESTING_ACT_DETAILED</stp>
        <stp>FQ4 2006</stp>
        <stp>FQ4 2006</stp>
        <stp>[FA1_j2ahgkxc.xlsx]Cash Flow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4"/>
      </tp>
      <tp>
        <v>63</v>
        <stp/>
        <stp>##V3_BDHV12</stp>
        <stp>AMZN US Equity</stp>
        <stp>OTHER_CURRENT_ASSETS_DETAILED</stp>
        <stp>FQ2 2005</stp>
        <stp>FQ2 2005</stp>
        <stp>[FA1_j2ahgkxc.xlsx]Bal Sheet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3"/>
      </tp>
      <tp>
        <v>204</v>
        <stp/>
        <stp>##V3_BDHV12</stp>
        <stp>AMZN US Equity</stp>
        <stp>OTHER_CURRENT_ASSETS_DETAILED</stp>
        <stp>FQ4 2008</stp>
        <stp>FQ4 2008</stp>
        <stp>[FA1_j2ahgkxc.xlsx]Bal Sheet - Standardized!R17C42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3"/>
      </tp>
      <tp>
        <v>-82.18</v>
        <stp/>
        <stp>##V3_BDHV12</stp>
        <stp>AMZN US Equity</stp>
        <stp>EBIT</stp>
        <stp>FQ4 1999</stp>
        <stp>FQ4 1999</stp>
        <stp>[FA1_j2ahgkxc.xlsx]Income - Adjusted!R49C7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9" s="2"/>
      </tp>
      <tp>
        <v>189.136</v>
        <stp/>
        <stp>##V3_BDHV12</stp>
        <stp>AMZN US Equity</stp>
        <stp>IS_ABNORMAL_ITEM</stp>
        <stp>FQ1 2000</stp>
        <stp>FQ1 2000</stp>
        <stp>[FA1_j2ahgkxc.xlsx]Income - Adjusted!R18C8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2"/>
      </tp>
      <tp>
        <v>25.309000000000001</v>
        <stp/>
        <stp>##V3_BDHV12</stp>
        <stp>AMZN US Equity</stp>
        <stp>IS_ABNORMAL_ITEM</stp>
        <stp>FQ1 1999</stp>
        <stp>FQ1 1999</stp>
        <stp>[FA1_j2ahgkxc.xlsx]Income - Adjusted!R18C4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2"/>
      </tp>
      <tp>
        <v>414.67899999999997</v>
        <stp/>
        <stp>##V3_BDHV12</stp>
        <stp>AMZN US Equity</stp>
        <stp>EQY_SH_OUT</stp>
        <stp>FQ1 2007</stp>
        <stp>FQ1 2007</stp>
        <stp>[FA1_j2ahgkxc.xlsx]Stock Value!R13C35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3" s="6"/>
      </tp>
      <tp>
        <v>409.69799999999998</v>
        <stp/>
        <stp>##V3_BDHV12</stp>
        <stp>AMZN US Equity</stp>
        <stp>EQY_SH_OUT</stp>
        <stp>FQ2 2007</stp>
        <stp>FQ2 2007</stp>
        <stp>[FA1_j2ahgkxc.xlsx]Stock Value!R13C36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3" s="6"/>
      </tp>
      <tp>
        <v>413.399</v>
        <stp/>
        <stp>##V3_BDHV12</stp>
        <stp>AMZN US Equity</stp>
        <stp>EQY_SH_OUT</stp>
        <stp>FQ3 2007</stp>
        <stp>FQ3 2007</stp>
        <stp>[FA1_j2ahgkxc.xlsx]Stock Value!R13C37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3" s="6"/>
      </tp>
      <tp>
        <v>356.17399999999998</v>
        <stp/>
        <stp>##V3_BDHV12</stp>
        <stp>AMZN US Equity</stp>
        <stp>EQY_SH_OUT</stp>
        <stp>FQ4 2000</stp>
        <stp>FQ4 2000</stp>
        <stp>[FA1_j2ahgkxc.xlsx]Stock Value!R13C10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3" s="6"/>
      </tp>
      <tp>
        <v>373.291</v>
        <stp/>
        <stp>##V3_BDHV12</stp>
        <stp>AMZN US Equity</stp>
        <stp>EQY_SH_OUT</stp>
        <stp>FQ1 2002</stp>
        <stp>FQ1 2002</stp>
        <stp>[FA1_j2ahgkxc.xlsx]Stock Value!R13C15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3" s="6"/>
      </tp>
      <tp>
        <v>0.13400000000000001</v>
        <stp/>
        <stp>##V3_BDHV12</stp>
        <stp>AMZN US Equity</stp>
        <stp>CASH_FLOW_PER_SH</stp>
        <stp>FQ4 1998</stp>
        <stp>FQ4 1998</stp>
        <stp>[FA1_j2ahgkxc.xlsx]Per Share!R22C3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2" s="5"/>
      </tp>
      <tp>
        <v>414.47300000000001</v>
        <stp/>
        <stp>##V3_BDHV12</stp>
        <stp>AMZN US Equity</stp>
        <stp>EQY_SH_OUT</stp>
        <stp>FQ4 2005</stp>
        <stp>FQ4 2005</stp>
        <stp>[FA1_j2ahgkxc.xlsx]Stock Value!R13C30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3" s="6"/>
      </tp>
      <tp>
        <v>380.46899999999999</v>
        <stp/>
        <stp>##V3_BDHV12</stp>
        <stp>AMZN US Equity</stp>
        <stp>EQY_SH_OUT</stp>
        <stp>FQ3 2002</stp>
        <stp>FQ3 2002</stp>
        <stp>[FA1_j2ahgkxc.xlsx]Stock Value!R13C17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3" s="6"/>
      </tp>
      <tp>
        <v>375.07499999999999</v>
        <stp/>
        <stp>##V3_BDHV12</stp>
        <stp>AMZN US Equity</stp>
        <stp>EQY_SH_OUT</stp>
        <stp>FQ2 2002</stp>
        <stp>FQ2 2002</stp>
        <stp>[FA1_j2ahgkxc.xlsx]Stock Value!R13C16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3" s="6"/>
      </tp>
      <tp>
        <v>6.0731000000000002</v>
        <stp/>
        <stp>##V3_BDHV12</stp>
        <stp>AMZN US Equity</stp>
        <stp>EBITDA_MARGIN</stp>
        <stp>FQ4 2007</stp>
        <stp>FQ4 2007</stp>
        <stp>[FA1_j2ahgkxc.xlsx]Cash Flow - Standardized!R46C38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46" s="4"/>
      </tp>
      <tp>
        <v>5.7219999999999995</v>
        <stp/>
        <stp>##V3_BDHV12</stp>
        <stp>AMZN US Equity</stp>
        <stp>EBITDA_MARGIN</stp>
        <stp>FQ1 2007</stp>
        <stp>FQ1 2007</stp>
        <stp>[FA1_j2ahgkxc.xlsx]Cash Flow - Standardized!R46C35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46" s="4"/>
      </tp>
      <tp>
        <v>6.0768000000000004</v>
        <stp/>
        <stp>##V3_BDHV12</stp>
        <stp>AMZN US Equity</stp>
        <stp>EBITDA_MARGIN</stp>
        <stp>FQ2 2007</stp>
        <stp>FQ2 2007</stp>
        <stp>[FA1_j2ahgkxc.xlsx]Cash Flow - Standardized!R46C36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46" s="4"/>
      </tp>
      <tp>
        <v>6.2514000000000003</v>
        <stp/>
        <stp>##V3_BDHV12</stp>
        <stp>AMZN US Equity</stp>
        <stp>EBITDA_MARGIN</stp>
        <stp>FQ3 2007</stp>
        <stp>FQ3 2007</stp>
        <stp>[FA1_j2ahgkxc.xlsx]Cash Flow - Standardized!R46C37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46" s="4"/>
      </tp>
      <tp>
        <v>-1352.8140000000001</v>
        <stp/>
        <stp>##V3_BDHV12</stp>
        <stp>AMZN US Equity</stp>
        <stp>EQTY_BEF_MINORITY_INT_DETAILED</stp>
        <stp>FQ4 2002</stp>
        <stp>FQ4 2002</stp>
        <stp>[FA1_j2ahgkxc.xlsx]Bal Sheet - Standardized!R52C18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2" s="3"/>
      </tp>
      <tp>
        <v>46</v>
        <stp/>
        <stp>##V3_BDHV12</stp>
        <stp>AMZN US Equity</stp>
        <stp>IS_INC_TAX_EXP</stp>
        <stp>FQ2 2008</stp>
        <stp>FQ2 2008</stp>
        <stp>[FA1_j2ahgkxc.xlsx]Income - Adjusted!R21C40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1" s="2"/>
      </tp>
      <tp>
        <v>-967.25099999999998</v>
        <stp/>
        <stp>##V3_BDHV12</stp>
        <stp>AMZN US Equity</stp>
        <stp>EQTY_BEF_MINORITY_INT_DETAILED</stp>
        <stp>FQ4 2000</stp>
        <stp>FQ4 2000</stp>
        <stp>[FA1_j2ahgkxc.xlsx]Bal Sheet - Standardized!R52C10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2" s="3"/>
      </tp>
      <tp>
        <v>54</v>
        <stp/>
        <stp>##V3_BDHV12</stp>
        <stp>AMZN US Equity</stp>
        <stp>PRETAX_INC</stp>
        <stp>FQ2 2006</stp>
        <stp>FQ2 2006</stp>
        <stp>[FA1_j2ahgkxc.xlsx]Income - Adjusted!R17C32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7" s="2"/>
      </tp>
      <tp>
        <v>-93.552999999999997</v>
        <stp/>
        <stp>##V3_BDHV12</stp>
        <stp>AMZN US Equity</stp>
        <stp>PRETAX_INC</stp>
        <stp>FQ2 2002</stp>
        <stp>FQ2 2002</stp>
        <stp>[FA1_j2ahgkxc.xlsx]Income - Adjusted!R17C16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7" s="2"/>
      </tp>
      <tp>
        <v>-1440</v>
        <stp/>
        <stp>##V3_BDHV12</stp>
        <stp>AMZN US Equity</stp>
        <stp>EQTY_BEF_MINORITY_INT_DETAILED</stp>
        <stp>FQ4 2001</stp>
        <stp>FQ4 2001</stp>
        <stp>[FA1_j2ahgkxc.xlsx]Bal Sheet - Standardized!R52C14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2" s="3"/>
      </tp>
      <tp t="s">
        <v>—</v>
        <stp/>
        <stp>##V3_BDHV12</stp>
        <stp>AMZN US Equity</stp>
        <stp>EQY_FLOAT</stp>
        <stp>FQ1 2001</stp>
        <stp>FQ1 2001</stp>
        <stp>[FA1_j2ahgkxc.xlsx]Stock Value!R14C11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4" s="6"/>
      </tp>
      <tp t="s">
        <v>—</v>
        <stp/>
        <stp>##V3_BDHV12</stp>
        <stp>AMZN US Equity</stp>
        <stp>EQY_FLOAT</stp>
        <stp>FQ2 2001</stp>
        <stp>FQ2 2001</stp>
        <stp>[FA1_j2ahgkxc.xlsx]Stock Value!R14C12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4" s="6"/>
      </tp>
      <tp t="s">
        <v>—</v>
        <stp/>
        <stp>##V3_BDHV12</stp>
        <stp>AMZN US Equity</stp>
        <stp>EQY_FLOAT</stp>
        <stp>FQ3 2001</stp>
        <stp>FQ3 2001</stp>
        <stp>[FA1_j2ahgkxc.xlsx]Stock Value!R14C13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4" s="6"/>
      </tp>
      <tp>
        <v>306.81700000000001</v>
        <stp/>
        <stp>##V3_BDHV12</stp>
        <stp>AMZN US Equity</stp>
        <stp>EQY_FLOAT</stp>
        <stp>FQ4 2006</stp>
        <stp>FQ4 2006</stp>
        <stp>[FA1_j2ahgkxc.xlsx]Stock Value!R14C34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4" s="6"/>
      </tp>
      <tp t="s">
        <v>—</v>
        <stp/>
        <stp>##V3_BDHV12</stp>
        <stp>AMZN US Equity</stp>
        <stp>EQY_FLOAT</stp>
        <stp>FQ4 2001</stp>
        <stp>FQ4 2001</stp>
        <stp>[FA1_j2ahgkxc.xlsx]Stock Value!R14C14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4" s="6"/>
      </tp>
      <tp>
        <v>313.91300000000001</v>
        <stp/>
        <stp>##V3_BDHV12</stp>
        <stp>AMZN US Equity</stp>
        <stp>EQY_FLOAT</stp>
        <stp>FQ3 2006</stp>
        <stp>FQ3 2006</stp>
        <stp>[FA1_j2ahgkxc.xlsx]Stock Value!R14C33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4" s="6"/>
      </tp>
      <tp>
        <v>312.8</v>
        <stp/>
        <stp>##V3_BDHV12</stp>
        <stp>AMZN US Equity</stp>
        <stp>EQY_FLOAT</stp>
        <stp>FQ2 2006</stp>
        <stp>FQ2 2006</stp>
        <stp>[FA1_j2ahgkxc.xlsx]Stock Value!R14C32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4" s="6"/>
      </tp>
      <tp>
        <v>311.798</v>
        <stp/>
        <stp>##V3_BDHV12</stp>
        <stp>AMZN US Equity</stp>
        <stp>EQY_FLOAT</stp>
        <stp>FQ1 2006</stp>
        <stp>FQ1 2006</stp>
        <stp>[FA1_j2ahgkxc.xlsx]Stock Value!R14C31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4" s="6"/>
      </tp>
      <tp>
        <v>0.19700000000000001</v>
        <stp/>
        <stp>##V3_BDHV12</stp>
        <stp>AMZN US Equity</stp>
        <stp>CF_CASH_PAID_FOR_TAX</stp>
        <stp>FQ4 2003</stp>
        <stp>FQ4 2003</stp>
        <stp>[FA1_j2ahgkxc.xlsx]Cash Flow - Standardized!R41C22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1" s="4"/>
      </tp>
      <tp>
        <v>1.3919999999999999</v>
        <stp/>
        <stp>##V3_BDHV12</stp>
        <stp>AMZN US Equity</stp>
        <stp>CF_CASH_PAID_FOR_TAX</stp>
        <stp>FQ4 2004</stp>
        <stp>FQ4 2004</stp>
        <stp>[FA1_j2ahgkxc.xlsx]Cash Flow - Standardized!R41C26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1" s="4"/>
      </tp>
      <tp t="s">
        <v>—</v>
        <stp/>
        <stp>##V3_BDHV12</stp>
        <stp>AMZN US Equity</stp>
        <stp>IS_INT_INC</stp>
        <stp>FQ3 2000</stp>
        <stp>FQ3 2000</stp>
        <stp>[FA1_j2ahgkxc.xlsx]Income - Adjusted!R15C9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5" s="2"/>
      </tp>
      <tp>
        <v>0</v>
        <stp/>
        <stp>##V3_BDHV12</stp>
        <stp>AMZN US Equity</stp>
        <stp>XO_GL_NET_OF_TAX</stp>
        <stp>FQ2 2002</stp>
        <stp>FQ2 2002</stp>
        <stp>[FA1_j2ahgkxc.xlsx]Income - Adjusted!R23C16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2"/>
      </tp>
      <tp>
        <v>0</v>
        <stp/>
        <stp>##V3_BDHV12</stp>
        <stp>AMZN US Equity</stp>
        <stp>XO_GL_NET_OF_TAX</stp>
        <stp>FQ2 2002</stp>
        <stp>FQ2 2002</stp>
        <stp>[FA1_j2ahgkxc.xlsx]Income - Adjusted!R32C16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2"/>
      </tp>
      <tp>
        <v>15</v>
        <stp/>
        <stp>##V3_BDHV12</stp>
        <stp>AMZN US Equity</stp>
        <stp>CF_CASH_PAID_FOR_TAX</stp>
        <stp>FQ2 2008</stp>
        <stp>FQ2 2008</stp>
        <stp>[FA1_j2ahgkxc.xlsx]Cash Flow - Standardized!R41C40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1" s="4"/>
      </tp>
      <tp>
        <v>10.523</v>
        <stp/>
        <stp>##V3_BDHV12</stp>
        <stp>AMZN US Equity</stp>
        <stp>XO_GL_NET_OF_TAX</stp>
        <stp>FQ1 2001</stp>
        <stp>FQ1 2001</stp>
        <stp>[FA1_j2ahgkxc.xlsx]Income - Adjusted!R23C11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2"/>
      </tp>
      <tp>
        <v>10.523</v>
        <stp/>
        <stp>##V3_BDHV12</stp>
        <stp>AMZN US Equity</stp>
        <stp>XO_GL_NET_OF_TAX</stp>
        <stp>FQ1 2001</stp>
        <stp>FQ1 2001</stp>
        <stp>[FA1_j2ahgkxc.xlsx]Income - Adjusted!R32C11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2"/>
      </tp>
      <tp>
        <v>0</v>
        <stp/>
        <stp>##V3_BDHV12</stp>
        <stp>AMZN US Equity</stp>
        <stp>XO_GL_NET_OF_TAX</stp>
        <stp>FQ4 2006</stp>
        <stp>FQ4 2006</stp>
        <stp>[FA1_j2ahgkxc.xlsx]Income - Adjusted!R23C34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2"/>
      </tp>
      <tp>
        <v>0</v>
        <stp/>
        <stp>##V3_BDHV12</stp>
        <stp>AMZN US Equity</stp>
        <stp>XO_GL_NET_OF_TAX</stp>
        <stp>FQ4 2006</stp>
        <stp>FQ4 2006</stp>
        <stp>[FA1_j2ahgkxc.xlsx]Income - Adjusted!R32C34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2"/>
      </tp>
      <tp>
        <v>0</v>
        <stp/>
        <stp>##V3_BDHV12</stp>
        <stp>AMZN US Equity</stp>
        <stp>BS_OTHER_INV</stp>
        <stp>FQ1 1999</stp>
        <stp>FQ1 1999</stp>
        <stp>[FA1_j2ahgkxc.xlsx]Bal Sheet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0</v>
        <stp/>
        <stp>##V3_BDHV12</stp>
        <stp>AMZN US Equity</stp>
        <stp>BS_OTHER_INV</stp>
        <stp>FQ3 1999</stp>
        <stp>FQ3 1999</stp>
        <stp>[FA1_j2ahgkxc.xlsx]Bal Sheet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-231</v>
        <stp/>
        <stp>##V3_BDHV12</stp>
        <stp>AMZN US Equity</stp>
        <stp>CF_CASH_FROM_INV_ACT</stp>
        <stp>FQ4 2005</stp>
        <stp>FQ4 2005</stp>
        <stp>[FA1_j2ahgkxc.xlsx]Cash Flow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4"/>
      </tp>
      <tp>
        <v>103.873</v>
        <stp/>
        <stp>##V3_BDHV12</stp>
        <stp>AMZN US Equity</stp>
        <stp>OTHER_CURRENT_ASSETS_DETAILED</stp>
        <stp>FQ3 2003</stp>
        <stp>FQ3 2003</stp>
        <stp>[FA1_j2ahgkxc.xlsx]Bal Sheet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3"/>
      </tp>
      <tp>
        <v>-232</v>
        <stp/>
        <stp>##V3_BDHV12</stp>
        <stp>AMZN US Equity</stp>
        <stp>OTHER_INVESTING_ACT_DETAILED</stp>
        <stp>FQ2 2008</stp>
        <stp>FQ2 2008</stp>
        <stp>[FA1_j2ahgkxc.xlsx]Cash Flow - Standardized!R27C40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4"/>
      </tp>
      <tp>
        <v>0</v>
        <stp/>
        <stp>##V3_BDHV12</stp>
        <stp>AMZN US Equity</stp>
        <stp>BS_OTHER_INV</stp>
        <stp>FQ2 1999</stp>
        <stp>FQ2 1999</stp>
        <stp>[FA1_j2ahgkxc.xlsx]Bal Sheet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0</v>
        <stp/>
        <stp>##V3_BDHV12</stp>
        <stp>AMZN US Equity</stp>
        <stp>BS_OTHER_INV</stp>
        <stp>FQ4 1998</stp>
        <stp>FQ4 1998</stp>
        <stp>[FA1_j2ahgkxc.xlsx]Bal Sheet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75</v>
        <stp/>
        <stp>##V3_BDHV12</stp>
        <stp>AMZN US Equity</stp>
        <stp>OTHER_CURRENT_ASSETS_DETAILED</stp>
        <stp>FQ2 2007</stp>
        <stp>FQ2 2007</stp>
        <stp>[FA1_j2ahgkxc.xlsx]Bal Sheet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3"/>
      </tp>
      <tp>
        <v>635.13199999999995</v>
        <stp/>
        <stp>##V3_BDHV12</stp>
        <stp>AMZN US Equity</stp>
        <stp>IS_COGS_TO_FE_AND_PP_AND_G</stp>
        <stp>FQ3 2002</stp>
        <stp>FQ3 2002</stp>
        <stp>[FA1_j2ahgkxc.xlsx]Income - Adjusted!R7C17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7" s="2"/>
      </tp>
      <tp>
        <v>587.43799999999999</v>
        <stp/>
        <stp>##V3_BDHV12</stp>
        <stp>AMZN US Equity</stp>
        <stp>IS_COGS_TO_FE_AND_PP_AND_G</stp>
        <stp>FQ2 2002</stp>
        <stp>FQ2 2002</stp>
        <stp>[FA1_j2ahgkxc.xlsx]Income - Adjusted!R7C16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7" s="2"/>
      </tp>
      <tp>
        <v>624.29700000000003</v>
        <stp/>
        <stp>##V3_BDHV12</stp>
        <stp>AMZN US Equity</stp>
        <stp>IS_COGS_TO_FE_AND_PP_AND_G</stp>
        <stp>FQ1 2002</stp>
        <stp>FQ1 2002</stp>
        <stp>[FA1_j2ahgkxc.xlsx]Income - Adjusted!R7C15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7" s="2"/>
      </tp>
      <tp>
        <v>150.76400000000001</v>
        <stp/>
        <stp>##V3_BDHV12</stp>
        <stp>AMZN US Equity</stp>
        <stp>OTHER_CURRENT_ASSETS_DETAILED</stp>
        <stp>FQ3 2004</stp>
        <stp>FQ3 2004</stp>
        <stp>[FA1_j2ahgkxc.xlsx]Bal Sheet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3"/>
      </tp>
      <tp>
        <v>1169.5150000000001</v>
        <stp/>
        <stp>##V3_BDHV12</stp>
        <stp>AMZN US Equity</stp>
        <stp>IS_COGS_TO_FE_AND_PP_AND_G</stp>
        <stp>FQ1 2004</stp>
        <stp>FQ1 2004</stp>
        <stp>[FA1_j2ahgkxc.xlsx]Income - Adjusted!R7C23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7" s="2"/>
      </tp>
      <tp>
        <v>1996.4929999999999</v>
        <stp/>
        <stp>##V3_BDHV12</stp>
        <stp>AMZN US Equity</stp>
        <stp>IS_COGS_TO_FE_AND_PP_AND_G</stp>
        <stp>FQ4 2004</stp>
        <stp>FQ4 2004</stp>
        <stp>[FA1_j2ahgkxc.xlsx]Income - Adjusted!R7C26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7" s="2"/>
      </tp>
      <tp>
        <v>0</v>
        <stp/>
        <stp>##V3_BDHV12</stp>
        <stp>AMZN US Equity</stp>
        <stp>BS_OTHER_INV</stp>
        <stp>FQ4 1999</stp>
        <stp>FQ4 1999</stp>
        <stp>[FA1_j2ahgkxc.xlsx]Bal Sheet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1732</v>
        <stp/>
        <stp>##V3_BDHV12</stp>
        <stp>AMZN US Equity</stp>
        <stp>IS_COGS_TO_FE_AND_PP_AND_G</stp>
        <stp>FQ1 2006</stp>
        <stp>FQ1 2006</stp>
        <stp>[FA1_j2ahgkxc.xlsx]Income - Adjusted!R7C31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7" s="2"/>
      </tp>
      <tp>
        <v>1758</v>
        <stp/>
        <stp>##V3_BDHV12</stp>
        <stp>AMZN US Equity</stp>
        <stp>IS_COGS_TO_FE_AND_PP_AND_G</stp>
        <stp>FQ3 2006</stp>
        <stp>FQ3 2006</stp>
        <stp>[FA1_j2ahgkxc.xlsx]Income - Adjusted!R7C33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7" s="2"/>
      </tp>
      <tp>
        <v>1630</v>
        <stp/>
        <stp>##V3_BDHV12</stp>
        <stp>AMZN US Equity</stp>
        <stp>IS_COGS_TO_FE_AND_PP_AND_G</stp>
        <stp>FQ2 2006</stp>
        <stp>FQ2 2006</stp>
        <stp>[FA1_j2ahgkxc.xlsx]Income - Adjusted!R7C32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7" s="2"/>
      </tp>
      <tp>
        <v>3135</v>
        <stp/>
        <stp>##V3_BDHV12</stp>
        <stp>AMZN US Equity</stp>
        <stp>IS_COGS_TO_FE_AND_PP_AND_G</stp>
        <stp>FQ4 2006</stp>
        <stp>FQ4 2006</stp>
        <stp>[FA1_j2ahgkxc.xlsx]Income - Adjusted!R7C34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7" s="2"/>
      </tp>
      <tp>
        <v>-523</v>
        <stp/>
        <stp>##V3_BDHV12</stp>
        <stp>AMZN US Equity</stp>
        <stp>CF_CASH_FROM_INV_ACT</stp>
        <stp>FQ4 2006</stp>
        <stp>FQ4 2006</stp>
        <stp>[FA1_j2ahgkxc.xlsx]Cash Flow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4"/>
      </tp>
      <tp>
        <v>66</v>
        <stp/>
        <stp>##V3_BDHV12</stp>
        <stp>AMZN US Equity</stp>
        <stp>OTHER_CURRENT_ASSETS_DETAILED</stp>
        <stp>FQ2 2006</stp>
        <stp>FQ2 2006</stp>
        <stp>[FA1_j2ahgkxc.xlsx]Bal Sheet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3"/>
      </tp>
      <tp>
        <v>-140</v>
        <stp/>
        <stp>##V3_BDHV12</stp>
        <stp>AMZN US Equity</stp>
        <stp>CF_CASH_FROM_INV_ACT</stp>
        <stp>FQ4 2007</stp>
        <stp>FQ4 2007</stp>
        <stp>[FA1_j2ahgkxc.xlsx]Cash Flow - Standardized!R28C38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4"/>
      </tp>
      <tp>
        <v>-6</v>
        <stp/>
        <stp>##V3_BDHV12</stp>
        <stp>AMZN US Equity</stp>
        <stp>CF_CASH_FROM_INV_ACT</stp>
        <stp>FQ3 2008</stp>
        <stp>FQ3 2008</stp>
        <stp>[FA1_j2ahgkxc.xlsx]Cash Flow - Standardized!R28C41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4"/>
      </tp>
      <tp>
        <v>-28.681999999999999</v>
        <stp/>
        <stp>##V3_BDHV12</stp>
        <stp>AMZN US Equity</stp>
        <stp>OTHER_INVESTING_ACT_DETAILED</stp>
        <stp>FQ4 2004</stp>
        <stp>FQ4 2004</stp>
        <stp>[FA1_j2ahgkxc.xlsx]Cash Flow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4"/>
      </tp>
      <tp>
        <v>58</v>
        <stp/>
        <stp>##V3_BDHV12</stp>
        <stp>AMZN US Equity</stp>
        <stp>OTHER_CURRENT_ASSETS_DETAILED</stp>
        <stp>FQ3 2005</stp>
        <stp>FQ3 2005</stp>
        <stp>[FA1_j2ahgkxc.xlsx]Bal Sheet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3"/>
      </tp>
      <tp>
        <v>110.72499999999999</v>
        <stp/>
        <stp>##V3_BDHV12</stp>
        <stp>AMZN US Equity</stp>
        <stp>OTHER_INVESTING_ACT_DETAILED</stp>
        <stp>FQ4 2003</stp>
        <stp>FQ4 2003</stp>
        <stp>[FA1_j2ahgkxc.xlsx]Cash Flow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4"/>
      </tp>
      <tp>
        <v>39</v>
        <stp/>
        <stp>##V3_BDHV12</stp>
        <stp>AMZN US Equity</stp>
        <stp>BS_CURR_RENTAL_EXPENSE</stp>
        <stp>FQ1 2008</stp>
        <stp>FQ1 2008</stp>
        <stp>[FA1_j2ahgkxc.xlsx]Income - Adjusted!R58C39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8" s="2"/>
      </tp>
      <tp>
        <v>-9.1899999999999996E-2</v>
        <stp/>
        <stp>##V3_BDHV12</stp>
        <stp>AMZN US Equity</stp>
        <stp>CASH_FLOW_PER_SH</stp>
        <stp>FQ2 1999</stp>
        <stp>FQ2 1999</stp>
        <stp>[FA1_j2ahgkxc.xlsx]Per Share!R22C5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2" s="5"/>
      </tp>
      <tp>
        <v>7.4576000000000002</v>
        <stp/>
        <stp>##V3_BDHV12</stp>
        <stp>AMZN US Equity</stp>
        <stp>EBITDA_MARGIN</stp>
        <stp>FQ4 2004</stp>
        <stp>FQ4 2004</stp>
        <stp>[FA1_j2ahgkxc.xlsx]Cash Flow - Standardized!R46C26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46" s="4"/>
      </tp>
      <tp>
        <v>7.2774000000000001</v>
        <stp/>
        <stp>##V3_BDHV12</stp>
        <stp>AMZN US Equity</stp>
        <stp>EBITDA_MARGIN</stp>
        <stp>FQ1 2004</stp>
        <stp>FQ1 2004</stp>
        <stp>[FA1_j2ahgkxc.xlsx]Cash Flow - Standardized!R46C23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46" s="4"/>
      </tp>
      <tp>
        <v>7.6208</v>
        <stp/>
        <stp>##V3_BDHV12</stp>
        <stp>AMZN US Equity</stp>
        <stp>EBITDA_MARGIN</stp>
        <stp>FQ3 2004</stp>
        <stp>FQ3 2004</stp>
        <stp>[FA1_j2ahgkxc.xlsx]Cash Flow - Standardized!R46C25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46" s="4"/>
      </tp>
      <tp>
        <v>7.5359999999999996</v>
        <stp/>
        <stp>##V3_BDHV12</stp>
        <stp>AMZN US Equity</stp>
        <stp>EBITDA_MARGIN</stp>
        <stp>FQ2 2004</stp>
        <stp>FQ2 2004</stp>
        <stp>[FA1_j2ahgkxc.xlsx]Cash Flow - Standardized!R46C24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46" s="4"/>
      </tp>
      <tp>
        <v>-0.47</v>
        <stp/>
        <stp>##V3_BDHV12</stp>
        <stp>AMZN US Equity</stp>
        <stp>IS_DILUTED_EPS</stp>
        <stp>FQ2 2001</stp>
        <stp>FQ2 2001</stp>
        <stp>[FA1_j2ahgkxc.xlsx]Per Share!R17C12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7" s="5"/>
      </tp>
      <tp>
        <v>-0.11</v>
        <stp/>
        <stp>##V3_BDHV12</stp>
        <stp>AMZN US Equity</stp>
        <stp>IS_DILUTED_EPS</stp>
        <stp>FQ2 2003</stp>
        <stp>FQ2 2003</stp>
        <stp>[FA1_j2ahgkxc.xlsx]Per Share!R17C20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7" s="5"/>
      </tp>
      <tp>
        <v>-0.25</v>
        <stp/>
        <stp>##V3_BDHV12</stp>
        <stp>AMZN US Equity</stp>
        <stp>IS_DILUTED_EPS</stp>
        <stp>FQ2 2002</stp>
        <stp>FQ2 2002</stp>
        <stp>[FA1_j2ahgkxc.xlsx]Per Share!R17C16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7" s="5"/>
      </tp>
      <tp>
        <v>0.19</v>
        <stp/>
        <stp>##V3_BDHV12</stp>
        <stp>AMZN US Equity</stp>
        <stp>IS_DILUTED_EPS</stp>
        <stp>FQ2 2007</stp>
        <stp>FQ2 2007</stp>
        <stp>[FA1_j2ahgkxc.xlsx]Per Share!R17C36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7" s="5"/>
      </tp>
      <tp>
        <v>0.05</v>
        <stp/>
        <stp>##V3_BDHV12</stp>
        <stp>AMZN US Equity</stp>
        <stp>IS_DILUTED_EPS</stp>
        <stp>FQ2 2006</stp>
        <stp>FQ2 2006</stp>
        <stp>[FA1_j2ahgkxc.xlsx]Per Share!R17C32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7" s="5"/>
      </tp>
      <tp>
        <v>0.18</v>
        <stp/>
        <stp>##V3_BDHV12</stp>
        <stp>AMZN US Equity</stp>
        <stp>IS_DILUTED_EPS</stp>
        <stp>FQ2 2004</stp>
        <stp>FQ2 2004</stp>
        <stp>[FA1_j2ahgkxc.xlsx]Per Share!R17C24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7" s="5"/>
      </tp>
      <tp>
        <v>0.12</v>
        <stp/>
        <stp>##V3_BDHV12</stp>
        <stp>AMZN US Equity</stp>
        <stp>IS_DILUTED_EPS</stp>
        <stp>FQ2 2005</stp>
        <stp>FQ2 2005</stp>
        <stp>[FA1_j2ahgkxc.xlsx]Per Share!R17C28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7" s="5"/>
      </tp>
      <tp>
        <v>0.37</v>
        <stp/>
        <stp>##V3_BDHV12</stp>
        <stp>AMZN US Equity</stp>
        <stp>IS_DILUTED_EPS</stp>
        <stp>FQ2 2008</stp>
        <stp>FQ2 2008</stp>
        <stp>[FA1_j2ahgkxc.xlsx]Per Share!R17C40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7" s="5"/>
      </tp>
      <tp>
        <v>0.04</v>
        <stp/>
        <stp>##V3_BDHV12</stp>
        <stp>AMZN US Equity</stp>
        <stp>IS_DILUTED_EPS</stp>
        <stp>FQ3 2003</stp>
        <stp>FQ3 2003</stp>
        <stp>[FA1_j2ahgkxc.xlsx]Per Share!R17C21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7" s="5"/>
      </tp>
      <tp>
        <v>-0.46</v>
        <stp/>
        <stp>##V3_BDHV12</stp>
        <stp>AMZN US Equity</stp>
        <stp>IS_DILUTED_EPS</stp>
        <stp>FQ3 2001</stp>
        <stp>FQ3 2001</stp>
        <stp>[FA1_j2ahgkxc.xlsx]Per Share!R17C13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7" s="5"/>
      </tp>
      <tp>
        <v>-0.09</v>
        <stp/>
        <stp>##V3_BDHV12</stp>
        <stp>AMZN US Equity</stp>
        <stp>IS_DILUTED_EPS</stp>
        <stp>FQ3 2002</stp>
        <stp>FQ3 2002</stp>
        <stp>[FA1_j2ahgkxc.xlsx]Per Share!R17C17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7" s="5"/>
      </tp>
      <tp>
        <v>0.05</v>
        <stp/>
        <stp>##V3_BDHV12</stp>
        <stp>AMZN US Equity</stp>
        <stp>IS_DILUTED_EPS</stp>
        <stp>FQ3 2006</stp>
        <stp>FQ3 2006</stp>
        <stp>[FA1_j2ahgkxc.xlsx]Per Share!R17C33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7" s="5"/>
      </tp>
      <tp>
        <v>0.19</v>
        <stp/>
        <stp>##V3_BDHV12</stp>
        <stp>AMZN US Equity</stp>
        <stp>IS_DILUTED_EPS</stp>
        <stp>FQ3 2007</stp>
        <stp>FQ3 2007</stp>
        <stp>[FA1_j2ahgkxc.xlsx]Per Share!R17C37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7" s="5"/>
      </tp>
      <tp>
        <v>7.0000000000000007E-2</v>
        <stp/>
        <stp>##V3_BDHV12</stp>
        <stp>AMZN US Equity</stp>
        <stp>IS_DILUTED_EPS</stp>
        <stp>FQ3 2005</stp>
        <stp>FQ3 2005</stp>
        <stp>[FA1_j2ahgkxc.xlsx]Per Share!R17C29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7" s="5"/>
      </tp>
      <tp>
        <v>0.13</v>
        <stp/>
        <stp>##V3_BDHV12</stp>
        <stp>AMZN US Equity</stp>
        <stp>IS_DILUTED_EPS</stp>
        <stp>FQ3 2004</stp>
        <stp>FQ3 2004</stp>
        <stp>[FA1_j2ahgkxc.xlsx]Per Share!R17C25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7" s="5"/>
      </tp>
      <tp>
        <v>0.27</v>
        <stp/>
        <stp>##V3_BDHV12</stp>
        <stp>AMZN US Equity</stp>
        <stp>IS_DILUTED_EPS</stp>
        <stp>FQ3 2008</stp>
        <stp>FQ3 2008</stp>
        <stp>[FA1_j2ahgkxc.xlsx]Per Share!R17C41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7" s="5"/>
      </tp>
      <tp>
        <v>-0.06</v>
        <stp/>
        <stp>##V3_BDHV12</stp>
        <stp>AMZN US Equity</stp>
        <stp>IS_DILUTED_EPS</stp>
        <stp>FQ1 2002</stp>
        <stp>FQ1 2002</stp>
        <stp>[FA1_j2ahgkxc.xlsx]Per Share!R17C15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7" s="5"/>
      </tp>
      <tp>
        <v>-0.03</v>
        <stp/>
        <stp>##V3_BDHV12</stp>
        <stp>AMZN US Equity</stp>
        <stp>IS_DILUTED_EPS</stp>
        <stp>FQ1 2003</stp>
        <stp>FQ1 2003</stp>
        <stp>[FA1_j2ahgkxc.xlsx]Per Share!R17C19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7" s="5"/>
      </tp>
      <tp>
        <v>-0.66</v>
        <stp/>
        <stp>##V3_BDHV12</stp>
        <stp>AMZN US Equity</stp>
        <stp>IS_DILUTED_EPS</stp>
        <stp>FQ1 2001</stp>
        <stp>FQ1 2001</stp>
        <stp>[FA1_j2ahgkxc.xlsx]Per Share!R17C11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7" s="5"/>
      </tp>
      <tp>
        <v>0.18</v>
        <stp/>
        <stp>##V3_BDHV12</stp>
        <stp>AMZN US Equity</stp>
        <stp>IS_DILUTED_EPS</stp>
        <stp>FQ1 2005</stp>
        <stp>FQ1 2005</stp>
        <stp>[FA1_j2ahgkxc.xlsx]Per Share!R17C27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7" s="5"/>
      </tp>
      <tp>
        <v>0.26</v>
        <stp/>
        <stp>##V3_BDHV12</stp>
        <stp>AMZN US Equity</stp>
        <stp>IS_DILUTED_EPS</stp>
        <stp>FQ1 2004</stp>
        <stp>FQ1 2004</stp>
        <stp>[FA1_j2ahgkxc.xlsx]Per Share!R17C23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7" s="5"/>
      </tp>
      <tp>
        <v>0.12</v>
        <stp/>
        <stp>##V3_BDHV12</stp>
        <stp>AMZN US Equity</stp>
        <stp>IS_DILUTED_EPS</stp>
        <stp>FQ1 2006</stp>
        <stp>FQ1 2006</stp>
        <stp>[FA1_j2ahgkxc.xlsx]Per Share!R17C31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7" s="5"/>
      </tp>
      <tp>
        <v>0.26</v>
        <stp/>
        <stp>##V3_BDHV12</stp>
        <stp>AMZN US Equity</stp>
        <stp>IS_DILUTED_EPS</stp>
        <stp>FQ1 2007</stp>
        <stp>FQ1 2007</stp>
        <stp>[FA1_j2ahgkxc.xlsx]Per Share!R17C35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7" s="5"/>
      </tp>
      <tp>
        <v>0.34</v>
        <stp/>
        <stp>##V3_BDHV12</stp>
        <stp>AMZN US Equity</stp>
        <stp>IS_DILUTED_EPS</stp>
        <stp>FQ1 2008</stp>
        <stp>FQ1 2008</stp>
        <stp>[FA1_j2ahgkxc.xlsx]Per Share!R17C39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7" s="5"/>
      </tp>
      <tp>
        <v>0.82</v>
        <stp/>
        <stp>##V3_BDHV12</stp>
        <stp>AMZN US Equity</stp>
        <stp>IS_DILUTED_EPS</stp>
        <stp>FQ4 2004</stp>
        <stp>FQ4 2004</stp>
        <stp>[FA1_j2ahgkxc.xlsx]Per Share!R17C26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7" s="5"/>
      </tp>
      <tp>
        <v>0.47</v>
        <stp/>
        <stp>##V3_BDHV12</stp>
        <stp>AMZN US Equity</stp>
        <stp>IS_DILUTED_EPS</stp>
        <stp>FQ4 2005</stp>
        <stp>FQ4 2005</stp>
        <stp>[FA1_j2ahgkxc.xlsx]Per Share!R17C30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7" s="5"/>
      </tp>
      <tp>
        <v>0.48</v>
        <stp/>
        <stp>##V3_BDHV12</stp>
        <stp>AMZN US Equity</stp>
        <stp>IS_DILUTED_EPS</stp>
        <stp>FQ4 2007</stp>
        <stp>FQ4 2007</stp>
        <stp>[FA1_j2ahgkxc.xlsx]Per Share!R17C38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7" s="5"/>
      </tp>
      <tp>
        <v>0.23</v>
        <stp/>
        <stp>##V3_BDHV12</stp>
        <stp>AMZN US Equity</stp>
        <stp>IS_DILUTED_EPS</stp>
        <stp>FQ4 2006</stp>
        <stp>FQ4 2006</stp>
        <stp>[FA1_j2ahgkxc.xlsx]Per Share!R17C34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7" s="5"/>
      </tp>
      <tp>
        <v>0.01</v>
        <stp/>
        <stp>##V3_BDHV12</stp>
        <stp>AMZN US Equity</stp>
        <stp>IS_DILUTED_EPS</stp>
        <stp>FQ4 2002</stp>
        <stp>FQ4 2002</stp>
        <stp>[FA1_j2ahgkxc.xlsx]Per Share!R17C18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7" s="5"/>
      </tp>
      <tp>
        <v>0.01</v>
        <stp/>
        <stp>##V3_BDHV12</stp>
        <stp>AMZN US Equity</stp>
        <stp>IS_DILUTED_EPS</stp>
        <stp>FQ4 2001</stp>
        <stp>FQ4 2001</stp>
        <stp>[FA1_j2ahgkxc.xlsx]Per Share!R17C14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7" s="5"/>
      </tp>
      <tp>
        <v>-1.53</v>
        <stp/>
        <stp>##V3_BDHV12</stp>
        <stp>AMZN US Equity</stp>
        <stp>IS_DILUTED_EPS</stp>
        <stp>FQ4 2000</stp>
        <stp>FQ4 2000</stp>
        <stp>[FA1_j2ahgkxc.xlsx]Per Share!R17C10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7" s="5"/>
      </tp>
      <tp>
        <v>0.17</v>
        <stp/>
        <stp>##V3_BDHV12</stp>
        <stp>AMZN US Equity</stp>
        <stp>IS_DILUTED_EPS</stp>
        <stp>FQ4 2003</stp>
        <stp>FQ4 2003</stp>
        <stp>[FA1_j2ahgkxc.xlsx]Per Share!R17C22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7" s="5"/>
      </tp>
      <tp>
        <v>0.52</v>
        <stp/>
        <stp>##V3_BDHV12</stp>
        <stp>AMZN US Equity</stp>
        <stp>IS_DILUTED_EPS</stp>
        <stp>FQ4 2008</stp>
        <stp>FQ4 2008</stp>
        <stp>[FA1_j2ahgkxc.xlsx]Per Share!R17C42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7" s="5"/>
      </tp>
      <tp>
        <v>2230</v>
        <stp/>
        <stp>##V3_BDHV12</stp>
        <stp>AMZN US Equity</stp>
        <stp>EQTY_BEF_MINORITY_INT_DETAILED</stp>
        <stp>FQ2 2008</stp>
        <stp>FQ2 2008</stp>
        <stp>[FA1_j2ahgkxc.xlsx]Bal Sheet - Standardized!R52C40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2" s="3"/>
      </tp>
      <tp>
        <v>-1036.1070999999999</v>
        <stp/>
        <stp>##V3_BDHV12</stp>
        <stp>AMZN US Equity</stp>
        <stp>EQTY_BEF_MINORITY_INT_DETAILED</stp>
        <stp>FQ4 2003</stp>
        <stp>FQ4 2003</stp>
        <stp>[FA1_j2ahgkxc.xlsx]Bal Sheet - Standardized!R52C22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2" s="3"/>
      </tp>
      <tp>
        <v>0</v>
        <stp/>
        <stp>##V3_BDHV12</stp>
        <stp>AMZN US Equity</stp>
        <stp>CF_DECR_CAP_STOCK</stp>
        <stp>FQ2 1999</stp>
        <stp>FQ2 1999</stp>
        <stp>[FA1_j2ahgkxc.xlsx]Cash Flow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4"/>
      </tp>
      <tp>
        <v>0</v>
        <stp/>
        <stp>##V3_BDHV12</stp>
        <stp>AMZN US Equity</stp>
        <stp>CF_DECR_CAP_STOCK</stp>
        <stp>FQ3 1999</stp>
        <stp>FQ3 1999</stp>
        <stp>[FA1_j2ahgkxc.xlsx]Cash Flow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4"/>
      </tp>
      <tp>
        <v>111.136</v>
        <stp/>
        <stp>##V3_BDHV12</stp>
        <stp>AMZN US Equity</stp>
        <stp>PRETAX_INC</stp>
        <stp>FQ1 2004</stp>
        <stp>FQ1 2004</stp>
        <stp>[FA1_j2ahgkxc.xlsx]Income - Adjusted!R17C23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7" s="2"/>
      </tp>
      <tp>
        <v>96</v>
        <stp/>
        <stp>##V3_BDHV12</stp>
        <stp>AMZN US Equity</stp>
        <stp>PRETAX_INC</stp>
        <stp>FQ1 2006</stp>
        <stp>FQ1 2006</stp>
        <stp>[FA1_j2ahgkxc.xlsx]Income - Adjusted!R17C31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7" s="2"/>
      </tp>
      <tp>
        <v>-23.951000000000001</v>
        <stp/>
        <stp>##V3_BDHV12</stp>
        <stp>AMZN US Equity</stp>
        <stp>PRETAX_INC</stp>
        <stp>FQ1 2002</stp>
        <stp>FQ1 2002</stp>
        <stp>[FA1_j2ahgkxc.xlsx]Income - Adjusted!R17C15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7" s="2"/>
      </tp>
      <tp>
        <v>-227.21090000000001</v>
        <stp/>
        <stp>##V3_BDHV12</stp>
        <stp>AMZN US Equity</stp>
        <stp>EQTY_BEF_MINORITY_INT_DETAILED</stp>
        <stp>FQ4 2004</stp>
        <stp>FQ4 2004</stp>
        <stp>[FA1_j2ahgkxc.xlsx]Bal Sheet - Standardized!R52C26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2" s="3"/>
      </tp>
      <tp>
        <v>0</v>
        <stp/>
        <stp>##V3_BDHV12</stp>
        <stp>AMZN US Equity</stp>
        <stp>CF_DECR_CAP_STOCK</stp>
        <stp>FQ1 1999</stp>
        <stp>FQ1 1999</stp>
        <stp>[FA1_j2ahgkxc.xlsx]Cash Flow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4"/>
      </tp>
      <tp>
        <v>0</v>
        <stp/>
        <stp>##V3_BDHV12</stp>
        <stp>AMZN US Equity</stp>
        <stp>CF_DECR_CAP_STOCK</stp>
        <stp>FQ4 1999</stp>
        <stp>FQ4 1999</stp>
        <stp>[FA1_j2ahgkxc.xlsx]Cash Flow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4"/>
      </tp>
      <tp>
        <v>387.90600000000001</v>
        <stp/>
        <stp>##V3_BDHV12</stp>
        <stp>AMZN US Equity</stp>
        <stp>BS_SH_OUT</stp>
        <stp>FQ4 2002</stp>
        <stp>FQ4 2002</stp>
        <stp>[FA1_j2ahgkxc.xlsx]Per Share!R6C18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5"/>
      </tp>
      <tp>
        <v>428</v>
        <stp/>
        <stp>##V3_BDHV12</stp>
        <stp>AMZN US Equity</stp>
        <stp>BS_SH_OUT</stp>
        <stp>FQ4 2008</stp>
        <stp>FQ4 2008</stp>
        <stp>[FA1_j2ahgkxc.xlsx]Per Share!R6C42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5"/>
      </tp>
      <tp>
        <v>0</v>
        <stp/>
        <stp>##V3_BDHV12</stp>
        <stp>AMZN US Equity</stp>
        <stp>CF_CASH_PAID_FOR_TAX</stp>
        <stp>FQ4 2001</stp>
        <stp>FQ4 2001</stp>
        <stp>[FA1_j2ahgkxc.xlsx]Cash Flow - Standardized!R41C14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1" s="4"/>
      </tp>
      <tp>
        <v>0</v>
        <stp/>
        <stp>##V3_BDHV12</stp>
        <stp>AMZN US Equity</stp>
        <stp>CF_CASH_PAID_FOR_TAX</stp>
        <stp>FQ4 2000</stp>
        <stp>FQ4 2000</stp>
        <stp>[FA1_j2ahgkxc.xlsx]Cash Flow - Standardized!R41C10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1" s="4"/>
      </tp>
      <tp>
        <v>10.125999999999999</v>
        <stp/>
        <stp>##V3_BDHV12</stp>
        <stp>AMZN US Equity</stp>
        <stp>IS_INT_INC</stp>
        <stp>FQ1 2000</stp>
        <stp>FQ1 2000</stp>
        <stp>[FA1_j2ahgkxc.xlsx]Income - Adjusted!R15C8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5" s="2"/>
      </tp>
      <tp>
        <v>0</v>
        <stp/>
        <stp>##V3_BDHV12</stp>
        <stp>AMZN US Equity</stp>
        <stp>XO_GL_NET_OF_TAX</stp>
        <stp>FQ4 2005</stp>
        <stp>FQ4 2005</stp>
        <stp>[FA1_j2ahgkxc.xlsx]Income - Adjusted!R32C30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2"/>
      </tp>
      <tp>
        <v>0</v>
        <stp/>
        <stp>##V3_BDHV12</stp>
        <stp>AMZN US Equity</stp>
        <stp>XO_GL_NET_OF_TAX</stp>
        <stp>FQ4 2005</stp>
        <stp>FQ4 2005</stp>
        <stp>[FA1_j2ahgkxc.xlsx]Income - Adjusted!R23C30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2"/>
      </tp>
      <tp>
        <v>-0.80100000000000005</v>
        <stp/>
        <stp>##V3_BDHV12</stp>
        <stp>AMZN US Equity</stp>
        <stp>XO_GL_NET_OF_TAX</stp>
        <stp>FQ1 2002</stp>
        <stp>FQ1 2002</stp>
        <stp>[FA1_j2ahgkxc.xlsx]Income - Adjusted!R32C15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2"/>
      </tp>
      <tp>
        <v>-0.80100000000000005</v>
        <stp/>
        <stp>##V3_BDHV12</stp>
        <stp>AMZN US Equity</stp>
        <stp>XO_GL_NET_OF_TAX</stp>
        <stp>FQ1 2002</stp>
        <stp>FQ1 2002</stp>
        <stp>[FA1_j2ahgkxc.xlsx]Income - Adjusted!R23C15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2"/>
      </tp>
      <tp>
        <v>0</v>
        <stp/>
        <stp>##V3_BDHV12</stp>
        <stp>AMZN US Equity</stp>
        <stp>XO_GL_NET_OF_TAX</stp>
        <stp>FQ2 2001</stp>
        <stp>FQ2 2001</stp>
        <stp>[FA1_j2ahgkxc.xlsx]Income - Adjusted!R32C12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2"/>
      </tp>
      <tp>
        <v>0</v>
        <stp/>
        <stp>##V3_BDHV12</stp>
        <stp>AMZN US Equity</stp>
        <stp>XO_GL_NET_OF_TAX</stp>
        <stp>FQ3 2003</stp>
        <stp>FQ3 2003</stp>
        <stp>[FA1_j2ahgkxc.xlsx]Income - Adjusted!R23C21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2"/>
      </tp>
      <tp>
        <v>0</v>
        <stp/>
        <stp>##V3_BDHV12</stp>
        <stp>AMZN US Equity</stp>
        <stp>XO_GL_NET_OF_TAX</stp>
        <stp>FQ4 2004</stp>
        <stp>FQ4 2004</stp>
        <stp>[FA1_j2ahgkxc.xlsx]Income - Adjusted!R23C26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2"/>
      </tp>
      <tp>
        <v>0</v>
        <stp/>
        <stp>##V3_BDHV12</stp>
        <stp>AMZN US Equity</stp>
        <stp>XO_GL_NET_OF_TAX</stp>
        <stp>FQ3 2003</stp>
        <stp>FQ3 2003</stp>
        <stp>[FA1_j2ahgkxc.xlsx]Income - Adjusted!R32C21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2"/>
      </tp>
      <tp>
        <v>0</v>
        <stp/>
        <stp>##V3_BDHV12</stp>
        <stp>AMZN US Equity</stp>
        <stp>XO_GL_NET_OF_TAX</stp>
        <stp>FQ4 2004</stp>
        <stp>FQ4 2004</stp>
        <stp>[FA1_j2ahgkxc.xlsx]Income - Adjusted!R32C26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2"/>
      </tp>
      <tp>
        <v>0</v>
        <stp/>
        <stp>##V3_BDHV12</stp>
        <stp>AMZN US Equity</stp>
        <stp>XO_GL_NET_OF_TAX</stp>
        <stp>FQ2 2001</stp>
        <stp>FQ2 2001</stp>
        <stp>[FA1_j2ahgkxc.xlsx]Income - Adjusted!R23C12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2"/>
      </tp>
      <tp>
        <v>0</v>
        <stp/>
        <stp>##V3_BDHV12</stp>
        <stp>AMZN US Equity</stp>
        <stp>CF_CASH_PAID_FOR_TAX</stp>
        <stp>FQ4 2002</stp>
        <stp>FQ4 2002</stp>
        <stp>[FA1_j2ahgkxc.xlsx]Cash Flow - Standardized!R41C18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1" s="4"/>
      </tp>
      <tp>
        <v>71.436999999999998</v>
        <stp/>
        <stp>##V3_BDHV12</stp>
        <stp>AMZN US Equity</stp>
        <stp>OTHER_CURRENT_ASSETS_DETAILED</stp>
        <stp>FQ3 2001</stp>
        <stp>FQ3 2001</stp>
        <stp>[FA1_j2ahgkxc.xlsx]Bal Sheet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3"/>
      </tp>
      <tp>
        <v>156</v>
        <stp/>
        <stp>##V3_BDHV12</stp>
        <stp>AMZN US Equity</stp>
        <stp>OTHER_CURRENT_ASSETS_DETAILED</stp>
        <stp>FQ1 2008</stp>
        <stp>FQ1 2008</stp>
        <stp>[FA1_j2ahgkxc.xlsx]Bal Sheet - Standardized!R17C39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3"/>
      </tp>
      <tp>
        <v>1518.9350999999999</v>
        <stp/>
        <stp>##V3_BDHV12</stp>
        <stp>AMZN US Equity</stp>
        <stp>IS_COGS_TO_FE_AND_PP_AND_G</stp>
        <stp>FQ4 2003</stp>
        <stp>FQ4 2003</stp>
        <stp>[FA1_j2ahgkxc.xlsx]Income - Adjusted!R7C22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7" s="2"/>
      </tp>
      <tp>
        <v>68</v>
        <stp/>
        <stp>##V3_BDHV12</stp>
        <stp>AMZN US Equity</stp>
        <stp>OTHER_CURRENT_ASSETS_DETAILED</stp>
        <stp>FQ1 2007</stp>
        <stp>FQ1 2007</stp>
        <stp>[FA1_j2ahgkxc.xlsx]Bal Sheet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3"/>
      </tp>
      <tp>
        <v>2136.9609999999998</v>
        <stp/>
        <stp>##V3_BDHV12</stp>
        <stp>AMZN US Equity</stp>
        <stp>NON_CUR_LIAB</stp>
        <stp>FQ1 2000</stp>
        <stp>FQ1 2000</stp>
        <stp>[FA1_j2ahgkxc.xlsx]Bal Sheet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3"/>
      </tp>
      <tp>
        <v>0</v>
        <stp/>
        <stp>##V3_BDHV12</stp>
        <stp>AMZN US Equity</stp>
        <stp>OTHER_INVESTING_ACT_DETAILED</stp>
        <stp>FQ4 2002</stp>
        <stp>FQ4 2002</stp>
        <stp>[FA1_j2ahgkxc.xlsx]Cash Flow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4"/>
      </tp>
      <tp>
        <v>2082.6970000000001</v>
        <stp/>
        <stp>##V3_BDHV12</stp>
        <stp>AMZN US Equity</stp>
        <stp>NON_CUR_LIAB</stp>
        <stp>FQ3 2000</stp>
        <stp>FQ3 2000</stp>
        <stp>[FA1_j2ahgkxc.xlsx]Bal Sheet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3"/>
      </tp>
      <tp>
        <v>86</v>
        <stp/>
        <stp>##V3_BDHV12</stp>
        <stp>AMZN US Equity</stp>
        <stp>OTHER_CURRENT_ASSETS_DETAILED</stp>
        <stp>FQ1 2006</stp>
        <stp>FQ1 2006</stp>
        <stp>[FA1_j2ahgkxc.xlsx]Bal Sheet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3"/>
      </tp>
      <tp>
        <v>102.291</v>
        <stp/>
        <stp>##V3_BDHV12</stp>
        <stp>AMZN US Equity</stp>
        <stp>OTHER_CURRENT_ASSETS_DETAILED</stp>
        <stp>FQ3 2002</stp>
        <stp>FQ3 2002</stp>
        <stp>[FA1_j2ahgkxc.xlsx]Bal Sheet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3"/>
      </tp>
      <tp t="s">
        <v>—</v>
        <stp/>
        <stp>##V3_BDHV12</stp>
        <stp>AMZN US Equity</stp>
        <stp>LT_CAPITAL_LEASE_OBLIGATIONS</stp>
        <stp>FQ4 1999</stp>
        <stp>FQ4 1999</stp>
        <stp>[FA1_j2ahgkxc.xlsx]Bal Sheet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3"/>
      </tp>
      <tp t="s">
        <v>—</v>
        <stp/>
        <stp>##V3_BDHV12</stp>
        <stp>AMZN US Equity</stp>
        <stp>ST_CAPITAL_LEASE_OBLIGATIONS</stp>
        <stp>FQ4 1999</stp>
        <stp>FQ4 1999</stp>
        <stp>[FA1_j2ahgkxc.xlsx]Bal Sheet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3"/>
      </tp>
      <tp>
        <v>246.846</v>
        <stp/>
        <stp>##V3_BDHV12</stp>
        <stp>AMZN US Equity</stp>
        <stp>IS_COGS_TO_FE_AND_PP_AND_G</stp>
        <stp>FQ2 1999</stp>
        <stp>FQ2 1999</stp>
        <stp>[FA1_j2ahgkxc.xlsx]Income - Adjusted!R7C5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-6.1980000000000004</v>
        <stp/>
        <stp>##V3_BDHV12</stp>
        <stp>AMZN US Equity</stp>
        <stp>OTHER_INVESTING_ACT_DETAILED</stp>
        <stp>FQ4 2001</stp>
        <stp>FQ4 2001</stp>
        <stp>[FA1_j2ahgkxc.xlsx]Cash Flow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4"/>
      </tp>
      <tp t="s">
        <v>—</v>
        <stp/>
        <stp>##V3_BDHV12</stp>
        <stp>AMZN US Equity</stp>
        <stp>LT_CAPITAL_LEASE_OBLIGATIONS</stp>
        <stp>FQ2 1999</stp>
        <stp>FQ2 1999</stp>
        <stp>[FA1_j2ahgkxc.xlsx]Bal Sheet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3"/>
      </tp>
      <tp t="s">
        <v>—</v>
        <stp/>
        <stp>##V3_BDHV12</stp>
        <stp>AMZN US Equity</stp>
        <stp>LT_CAPITAL_LEASE_OBLIGATIONS</stp>
        <stp>FQ4 1998</stp>
        <stp>FQ4 1998</stp>
        <stp>[FA1_j2ahgkxc.xlsx]Bal Sheet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3"/>
      </tp>
      <tp t="s">
        <v>—</v>
        <stp/>
        <stp>##V3_BDHV12</stp>
        <stp>AMZN US Equity</stp>
        <stp>ST_CAPITAL_LEASE_OBLIGATIONS</stp>
        <stp>FQ2 1999</stp>
        <stp>FQ2 1999</stp>
        <stp>[FA1_j2ahgkxc.xlsx]Bal Sheet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3"/>
      </tp>
      <tp t="s">
        <v>—</v>
        <stp/>
        <stp>##V3_BDHV12</stp>
        <stp>AMZN US Equity</stp>
        <stp>ST_CAPITAL_LEASE_OBLIGATIONS</stp>
        <stp>FQ4 1998</stp>
        <stp>FQ4 1998</stp>
        <stp>[FA1_j2ahgkxc.xlsx]Bal Sheet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3"/>
      </tp>
      <tp>
        <v>199.47499999999999</v>
        <stp/>
        <stp>##V3_BDHV12</stp>
        <stp>AMZN US Equity</stp>
        <stp>IS_COGS_TO_FE_AND_PP_AND_G</stp>
        <stp>FQ4 1998</stp>
        <stp>FQ4 1998</stp>
        <stp>[FA1_j2ahgkxc.xlsx]Income - Adjusted!R7C3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 t="s">
        <v>—</v>
        <stp/>
        <stp>##V3_BDHV12</stp>
        <stp>AMZN US Equity</stp>
        <stp>LT_CAPITAL_LEASE_OBLIGATIONS</stp>
        <stp>FQ3 1999</stp>
        <stp>FQ3 1999</stp>
        <stp>[FA1_j2ahgkxc.xlsx]Bal Sheet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3"/>
      </tp>
      <tp t="s">
        <v>—</v>
        <stp/>
        <stp>##V3_BDHV12</stp>
        <stp>AMZN US Equity</stp>
        <stp>LT_CAPITAL_LEASE_OBLIGATIONS</stp>
        <stp>FQ1 1999</stp>
        <stp>FQ1 1999</stp>
        <stp>[FA1_j2ahgkxc.xlsx]Bal Sheet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3"/>
      </tp>
      <tp t="s">
        <v>—</v>
        <stp/>
        <stp>##V3_BDHV12</stp>
        <stp>AMZN US Equity</stp>
        <stp>ST_CAPITAL_LEASE_OBLIGATIONS</stp>
        <stp>FQ3 1999</stp>
        <stp>FQ3 1999</stp>
        <stp>[FA1_j2ahgkxc.xlsx]Bal Sheet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3"/>
      </tp>
      <tp t="s">
        <v>—</v>
        <stp/>
        <stp>##V3_BDHV12</stp>
        <stp>AMZN US Equity</stp>
        <stp>ST_CAPITAL_LEASE_OBLIGATIONS</stp>
        <stp>FQ1 1999</stp>
        <stp>FQ1 1999</stp>
        <stp>[FA1_j2ahgkxc.xlsx]Bal Sheet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3"/>
      </tp>
      <tp>
        <v>-0.69099999999999995</v>
        <stp/>
        <stp>##V3_BDHV12</stp>
        <stp>AMZN US Equity</stp>
        <stp>OTHER_INVESTING_ACT_DETAILED</stp>
        <stp>FQ4 2000</stp>
        <stp>FQ4 2000</stp>
        <stp>[FA1_j2ahgkxc.xlsx]Cash Flow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4"/>
      </tp>
      <tp>
        <v>3.9361000000000002</v>
        <stp/>
        <stp>##V3_BDHV12</stp>
        <stp>AMZN US Equity</stp>
        <stp>EBITDA_MARGIN</stp>
        <stp>FQ2 2002</stp>
        <stp>FQ2 2002</stp>
        <stp>[FA1_j2ahgkxc.xlsx]Income - Adjusted!R47C16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7" s="2"/>
      </tp>
      <tp>
        <v>5.7079000000000004</v>
        <stp/>
        <stp>##V3_BDHV12</stp>
        <stp>AMZN US Equity</stp>
        <stp>EBITDA_MARGIN</stp>
        <stp>FQ2 2003</stp>
        <stp>FQ2 2003</stp>
        <stp>[FA1_j2ahgkxc.xlsx]Income - Adjusted!R47C20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7" s="2"/>
      </tp>
      <tp>
        <v>-4.8887</v>
        <stp/>
        <stp>##V3_BDHV12</stp>
        <stp>AMZN US Equity</stp>
        <stp>EBITDA_MARGIN</stp>
        <stp>FQ2 2001</stp>
        <stp>FQ2 2001</stp>
        <stp>[FA1_j2ahgkxc.xlsx]Income - Adjusted!R47C12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7" s="2"/>
      </tp>
      <tp>
        <v>7.2702</v>
        <stp/>
        <stp>##V3_BDHV12</stp>
        <stp>AMZN US Equity</stp>
        <stp>EBITDA_MARGIN</stp>
        <stp>FQ2 2005</stp>
        <stp>FQ2 2005</stp>
        <stp>[FA1_j2ahgkxc.xlsx]Income - Adjusted!R47C28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7" s="2"/>
      </tp>
      <tp>
        <v>7.5359999999999996</v>
        <stp/>
        <stp>##V3_BDHV12</stp>
        <stp>AMZN US Equity</stp>
        <stp>EBITDA_MARGIN</stp>
        <stp>FQ2 2004</stp>
        <stp>FQ2 2004</stp>
        <stp>[FA1_j2ahgkxc.xlsx]Income - Adjusted!R47C24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7" s="2"/>
      </tp>
      <tp>
        <v>5.6521999999999997</v>
        <stp/>
        <stp>##V3_BDHV12</stp>
        <stp>AMZN US Equity</stp>
        <stp>EBITDA_MARGIN</stp>
        <stp>FQ2 2006</stp>
        <stp>FQ2 2006</stp>
        <stp>[FA1_j2ahgkxc.xlsx]Income - Adjusted!R47C32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7" s="2"/>
      </tp>
      <tp>
        <v>6.0768000000000004</v>
        <stp/>
        <stp>##V3_BDHV12</stp>
        <stp>AMZN US Equity</stp>
        <stp>EBITDA_MARGIN</stp>
        <stp>FQ2 2007</stp>
        <stp>FQ2 2007</stp>
        <stp>[FA1_j2ahgkxc.xlsx]Income - Adjusted!R47C36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7" s="2"/>
      </tp>
      <tp>
        <v>6.2336</v>
        <stp/>
        <stp>##V3_BDHV12</stp>
        <stp>AMZN US Equity</stp>
        <stp>EBITDA_MARGIN</stp>
        <stp>FQ2 2008</stp>
        <stp>FQ2 2008</stp>
        <stp>[FA1_j2ahgkxc.xlsx]Income - Adjusted!R47C40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47" s="2"/>
      </tp>
      <tp>
        <v>5.1845999999999997</v>
        <stp/>
        <stp>##V3_BDHV12</stp>
        <stp>AMZN US Equity</stp>
        <stp>EBITDA_MARGIN</stp>
        <stp>FQ3 2002</stp>
        <stp>FQ3 2002</stp>
        <stp>[FA1_j2ahgkxc.xlsx]Income - Adjusted!R47C17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7" s="2"/>
      </tp>
      <tp>
        <v>-3.5145999999999997</v>
        <stp/>
        <stp>##V3_BDHV12</stp>
        <stp>AMZN US Equity</stp>
        <stp>EBITDA_MARGIN</stp>
        <stp>FQ3 2001</stp>
        <stp>FQ3 2001</stp>
        <stp>[FA1_j2ahgkxc.xlsx]Income - Adjusted!R47C13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7" s="2"/>
      </tp>
      <tp>
        <v>5.8192000000000004</v>
        <stp/>
        <stp>##V3_BDHV12</stp>
        <stp>AMZN US Equity</stp>
        <stp>EBITDA_MARGIN</stp>
        <stp>FQ3 2003</stp>
        <stp>FQ3 2003</stp>
        <stp>[FA1_j2ahgkxc.xlsx]Income - Adjusted!R47C21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7" s="2"/>
      </tp>
      <tp>
        <v>7.6208</v>
        <stp/>
        <stp>##V3_BDHV12</stp>
        <stp>AMZN US Equity</stp>
        <stp>EBITDA_MARGIN</stp>
        <stp>FQ3 2004</stp>
        <stp>FQ3 2004</stp>
        <stp>[FA1_j2ahgkxc.xlsx]Income - Adjusted!R47C25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7" s="2"/>
      </tp>
      <tp>
        <v>6.7224000000000004</v>
        <stp/>
        <stp>##V3_BDHV12</stp>
        <stp>AMZN US Equity</stp>
        <stp>EBITDA_MARGIN</stp>
        <stp>FQ3 2005</stp>
        <stp>FQ3 2005</stp>
        <stp>[FA1_j2ahgkxc.xlsx]Income - Adjusted!R47C29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7" s="2"/>
      </tp>
      <tp>
        <v>6.2514000000000003</v>
        <stp/>
        <stp>##V3_BDHV12</stp>
        <stp>AMZN US Equity</stp>
        <stp>EBITDA_MARGIN</stp>
        <stp>FQ3 2007</stp>
        <stp>FQ3 2007</stp>
        <stp>[FA1_j2ahgkxc.xlsx]Income - Adjusted!R47C37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47" s="2"/>
      </tp>
      <tp>
        <v>5.5762</v>
        <stp/>
        <stp>##V3_BDHV12</stp>
        <stp>AMZN US Equity</stp>
        <stp>EBITDA_MARGIN</stp>
        <stp>FQ3 2006</stp>
        <stp>FQ3 2006</stp>
        <stp>[FA1_j2ahgkxc.xlsx]Income - Adjusted!R47C33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7" s="2"/>
      </tp>
      <tp>
        <v>6.1428000000000003</v>
        <stp/>
        <stp>##V3_BDHV12</stp>
        <stp>AMZN US Equity</stp>
        <stp>EBITDA_MARGIN</stp>
        <stp>FQ3 2008</stp>
        <stp>FQ3 2008</stp>
        <stp>[FA1_j2ahgkxc.xlsx]Income - Adjusted!R47C41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47" s="2"/>
      </tp>
      <tp>
        <v>-7.3693999999999997</v>
        <stp/>
        <stp>##V3_BDHV12</stp>
        <stp>AMZN US Equity</stp>
        <stp>EBITDA_MARGIN</stp>
        <stp>FQ1 2001</stp>
        <stp>FQ1 2001</stp>
        <stp>[FA1_j2ahgkxc.xlsx]Income - Adjusted!R47C11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7" s="2"/>
      </tp>
      <tp>
        <v>5.2232000000000003</v>
        <stp/>
        <stp>##V3_BDHV12</stp>
        <stp>AMZN US Equity</stp>
        <stp>EBITDA_MARGIN</stp>
        <stp>FQ1 2003</stp>
        <stp>FQ1 2003</stp>
        <stp>[FA1_j2ahgkxc.xlsx]Income - Adjusted!R47C19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7" s="2"/>
      </tp>
      <tp>
        <v>3.0811999999999999</v>
        <stp/>
        <stp>##V3_BDHV12</stp>
        <stp>AMZN US Equity</stp>
        <stp>EBITDA_MARGIN</stp>
        <stp>FQ1 2002</stp>
        <stp>FQ1 2002</stp>
        <stp>[FA1_j2ahgkxc.xlsx]Income - Adjusted!R47C15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7" s="2"/>
      </tp>
      <tp>
        <v>5.7219999999999995</v>
        <stp/>
        <stp>##V3_BDHV12</stp>
        <stp>AMZN US Equity</stp>
        <stp>EBITDA_MARGIN</stp>
        <stp>FQ1 2007</stp>
        <stp>FQ1 2007</stp>
        <stp>[FA1_j2ahgkxc.xlsx]Income - Adjusted!R47C35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7" s="2"/>
      </tp>
      <tp>
        <v>6.3494000000000002</v>
        <stp/>
        <stp>##V3_BDHV12</stp>
        <stp>AMZN US Equity</stp>
        <stp>EBITDA_MARGIN</stp>
        <stp>FQ1 2006</stp>
        <stp>FQ1 2006</stp>
        <stp>[FA1_j2ahgkxc.xlsx]Income - Adjusted!R47C31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7" s="2"/>
      </tp>
      <tp>
        <v>7.2774000000000001</v>
        <stp/>
        <stp>##V3_BDHV12</stp>
        <stp>AMZN US Equity</stp>
        <stp>EBITDA_MARGIN</stp>
        <stp>FQ1 2004</stp>
        <stp>FQ1 2004</stp>
        <stp>[FA1_j2ahgkxc.xlsx]Income - Adjusted!R47C23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7" s="2"/>
      </tp>
      <tp>
        <v>7.1856</v>
        <stp/>
        <stp>##V3_BDHV12</stp>
        <stp>AMZN US Equity</stp>
        <stp>EBITDA_MARGIN</stp>
        <stp>FQ1 2005</stp>
        <stp>FQ1 2005</stp>
        <stp>[FA1_j2ahgkxc.xlsx]Income - Adjusted!R47C27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7" s="2"/>
      </tp>
      <tp>
        <v>5.9977</v>
        <stp/>
        <stp>##V3_BDHV12</stp>
        <stp>AMZN US Equity</stp>
        <stp>EBITDA_MARGIN</stp>
        <stp>FQ1 2008</stp>
        <stp>FQ1 2008</stp>
        <stp>[FA1_j2ahgkxc.xlsx]Income - Adjusted!R47C39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47" s="2"/>
      </tp>
      <tp>
        <v>5.5457000000000001</v>
        <stp/>
        <stp>##V3_BDHV12</stp>
        <stp>AMZN US Equity</stp>
        <stp>EBITDA_MARGIN</stp>
        <stp>FQ4 2006</stp>
        <stp>FQ4 2006</stp>
        <stp>[FA1_j2ahgkxc.xlsx]Income - Adjusted!R47C34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7" s="2"/>
      </tp>
      <tp>
        <v>6.0731000000000002</v>
        <stp/>
        <stp>##V3_BDHV12</stp>
        <stp>AMZN US Equity</stp>
        <stp>EBITDA_MARGIN</stp>
        <stp>FQ4 2007</stp>
        <stp>FQ4 2007</stp>
        <stp>[FA1_j2ahgkxc.xlsx]Income - Adjusted!R47C38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47" s="2"/>
      </tp>
      <tp>
        <v>7.4576000000000002</v>
        <stp/>
        <stp>##V3_BDHV12</stp>
        <stp>AMZN US Equity</stp>
        <stp>EBITDA_MARGIN</stp>
        <stp>FQ4 2004</stp>
        <stp>FQ4 2004</stp>
        <stp>[FA1_j2ahgkxc.xlsx]Income - Adjusted!R47C26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7" s="2"/>
      </tp>
      <tp>
        <v>6.5134999999999996</v>
        <stp/>
        <stp>##V3_BDHV12</stp>
        <stp>AMZN US Equity</stp>
        <stp>EBITDA_MARGIN</stp>
        <stp>FQ4 2005</stp>
        <stp>FQ4 2005</stp>
        <stp>[FA1_j2ahgkxc.xlsx]Income - Adjusted!R47C30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7" s="2"/>
      </tp>
      <tp>
        <v>6.5815999999999999</v>
        <stp/>
        <stp>##V3_BDHV12</stp>
        <stp>AMZN US Equity</stp>
        <stp>EBITDA_MARGIN</stp>
        <stp>FQ4 2003</stp>
        <stp>FQ4 2003</stp>
        <stp>[FA1_j2ahgkxc.xlsx]Income - Adjusted!R47C22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7" s="2"/>
      </tp>
      <tp>
        <v>-10.107100000000001</v>
        <stp/>
        <stp>##V3_BDHV12</stp>
        <stp>AMZN US Equity</stp>
        <stp>EBITDA_MARGIN</stp>
        <stp>FQ4 2000</stp>
        <stp>FQ4 2000</stp>
        <stp>[FA1_j2ahgkxc.xlsx]Income - Adjusted!R47C10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7" s="2"/>
      </tp>
      <tp>
        <v>1.2054</v>
        <stp/>
        <stp>##V3_BDHV12</stp>
        <stp>AMZN US Equity</stp>
        <stp>EBITDA_MARGIN</stp>
        <stp>FQ4 2001</stp>
        <stp>FQ4 2001</stp>
        <stp>[FA1_j2ahgkxc.xlsx]Income - Adjusted!R47C14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7" s="2"/>
      </tp>
      <tp>
        <v>4.9184999999999999</v>
        <stp/>
        <stp>##V3_BDHV12</stp>
        <stp>AMZN US Equity</stp>
        <stp>EBITDA_MARGIN</stp>
        <stp>FQ4 2002</stp>
        <stp>FQ4 2002</stp>
        <stp>[FA1_j2ahgkxc.xlsx]Income - Adjusted!R47C18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7" s="2"/>
      </tp>
      <tp>
        <v>5.8906000000000001</v>
        <stp/>
        <stp>##V3_BDHV12</stp>
        <stp>AMZN US Equity</stp>
        <stp>EBITDA_MARGIN</stp>
        <stp>FQ4 2008</stp>
        <stp>FQ4 2008</stp>
        <stp>[FA1_j2ahgkxc.xlsx]Income - Adjusted!R47C42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47" s="2"/>
      </tp>
      <tp>
        <v>151.03100000000001</v>
        <stp/>
        <stp>##V3_BDHV12</stp>
        <stp>AMZN US Equity</stp>
        <stp>IS_ABNORMAL_ITEM</stp>
        <stp>FQ3 2000</stp>
        <stp>FQ3 2000</stp>
        <stp>[FA1_j2ahgkxc.xlsx]Income - Adjusted!R18C9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2"/>
      </tp>
      <tp>
        <v>99.480999999999995</v>
        <stp/>
        <stp>##V3_BDHV12</stp>
        <stp>AMZN US Equity</stp>
        <stp>IS_ABNORMAL_ITEM</stp>
        <stp>FQ3 1999</stp>
        <stp>FQ3 1999</stp>
        <stp>[FA1_j2ahgkxc.xlsx]Income - Adjusted!R18C6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2"/>
      </tp>
      <tp>
        <v>-0.23580000000000001</v>
        <stp/>
        <stp>##V3_BDHV12</stp>
        <stp>AMZN US Equity</stp>
        <stp>EBITDA_PER_SH</stp>
        <stp>FQ1 2000</stp>
        <stp>FQ1 2000</stp>
        <stp>[FA1_j2ahgkxc.xlsx]Per Share!R12C8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2" s="5"/>
      </tp>
      <tp>
        <v>-0.1288</v>
        <stp/>
        <stp>##V3_BDHV12</stp>
        <stp>AMZN US Equity</stp>
        <stp>EBITDA_PER_SH</stp>
        <stp>FQ3 2000</stp>
        <stp>FQ3 2000</stp>
        <stp>[FA1_j2ahgkxc.xlsx]Per Share!R12C9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2" s="5"/>
      </tp>
      <tp>
        <v>428.83199999999999</v>
        <stp/>
        <stp>##V3_BDHV12</stp>
        <stp>AMZN US Equity</stp>
        <stp>EQY_SH_OUT</stp>
        <stp>FQ4 2008</stp>
        <stp>FQ4 2008</stp>
        <stp>[FA1_j2ahgkxc.xlsx]Stock Value!R13C42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3" s="6"/>
      </tp>
      <tp>
        <v>406.86099999999999</v>
        <stp/>
        <stp>##V3_BDHV12</stp>
        <stp>AMZN US Equity</stp>
        <stp>EQY_SH_OUT</stp>
        <stp>FQ3 2004</stp>
        <stp>FQ3 2004</stp>
        <stp>[FA1_j2ahgkxc.xlsx]Stock Value!R13C25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3" s="6"/>
      </tp>
      <tp>
        <v>401.07600000000002</v>
        <stp/>
        <stp>##V3_BDHV12</stp>
        <stp>AMZN US Equity</stp>
        <stp>EQY_SH_OUT</stp>
        <stp>FQ4 2003</stp>
        <stp>FQ4 2003</stp>
        <stp>[FA1_j2ahgkxc.xlsx]Stock Value!R13C22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3" s="6"/>
      </tp>
      <tp>
        <v>405.02499999999998</v>
        <stp/>
        <stp>##V3_BDHV12</stp>
        <stp>AMZN US Equity</stp>
        <stp>EQY_SH_OUT</stp>
        <stp>FQ2 2004</stp>
        <stp>FQ2 2004</stp>
        <stp>[FA1_j2ahgkxc.xlsx]Stock Value!R13C24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3" s="6"/>
      </tp>
      <tp t="s">
        <v>—</v>
        <stp/>
        <stp>##V3_BDHV12</stp>
        <stp>AMZN US Equity</stp>
        <stp>IS_CAP_INT_EXP</stp>
        <stp>FQ3 2008</stp>
        <stp>FQ3 2008</stp>
        <stp>[FA1_j2ahgkxc.xlsx]Income - Adjusted!R56C41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6" s="2"/>
      </tp>
      <tp>
        <v>410.57</v>
        <stp/>
        <stp>##V3_BDHV12</stp>
        <stp>AMZN US Equity</stp>
        <stp>EQY_SH_OUT</stp>
        <stp>FQ1 2005</stp>
        <stp>FQ1 2005</stp>
        <stp>[FA1_j2ahgkxc.xlsx]Stock Value!R13C27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3" s="6"/>
      </tp>
      <tp>
        <v>6.5134999999999996</v>
        <stp/>
        <stp>##V3_BDHV12</stp>
        <stp>AMZN US Equity</stp>
        <stp>EBITDA_MARGIN</stp>
        <stp>FQ4 2005</stp>
        <stp>FQ4 2005</stp>
        <stp>[FA1_j2ahgkxc.xlsx]Cash Flow - Standardized!R46C30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46" s="4"/>
      </tp>
      <tp>
        <v>7.1856</v>
        <stp/>
        <stp>##V3_BDHV12</stp>
        <stp>AMZN US Equity</stp>
        <stp>EBITDA_MARGIN</stp>
        <stp>FQ1 2005</stp>
        <stp>FQ1 2005</stp>
        <stp>[FA1_j2ahgkxc.xlsx]Cash Flow - Standardized!R46C27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46" s="4"/>
      </tp>
      <tp>
        <v>6.7224000000000004</v>
        <stp/>
        <stp>##V3_BDHV12</stp>
        <stp>AMZN US Equity</stp>
        <stp>EBITDA_MARGIN</stp>
        <stp>FQ3 2005</stp>
        <stp>FQ3 2005</stp>
        <stp>[FA1_j2ahgkxc.xlsx]Cash Flow - Standardized!R46C29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46" s="4"/>
      </tp>
      <tp>
        <v>7.2702</v>
        <stp/>
        <stp>##V3_BDHV12</stp>
        <stp>AMZN US Equity</stp>
        <stp>EBITDA_MARGIN</stp>
        <stp>FQ2 2005</stp>
        <stp>FQ2 2005</stp>
        <stp>[FA1_j2ahgkxc.xlsx]Cash Flow - Standardized!R46C28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46" s="4"/>
      </tp>
      <tp>
        <v>2527</v>
        <stp/>
        <stp>##V3_BDHV12</stp>
        <stp>AMZN US Equity</stp>
        <stp>EQTY_BEF_MINORITY_INT_DETAILED</stp>
        <stp>FQ3 2008</stp>
        <stp>FQ3 2008</stp>
        <stp>[FA1_j2ahgkxc.xlsx]Bal Sheet - Standardized!R52C41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2" s="3"/>
      </tp>
      <tp>
        <v>1197</v>
        <stp/>
        <stp>##V3_BDHV12</stp>
        <stp>AMZN US Equity</stp>
        <stp>EQTY_BEF_MINORITY_INT_DETAILED</stp>
        <stp>FQ4 2007</stp>
        <stp>FQ4 2007</stp>
        <stp>[FA1_j2ahgkxc.xlsx]Bal Sheet - Standardized!R52C38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2" s="3"/>
      </tp>
      <tp>
        <v>0</v>
        <stp/>
        <stp>##V3_BDHV12</stp>
        <stp>AMZN US Equity</stp>
        <stp>IS_INC_TAX_EXP</stp>
        <stp>FQ1 2003</stp>
        <stp>FQ1 2003</stp>
        <stp>[FA1_j2ahgkxc.xlsx]Income - Adjusted!R21C19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1" s="2"/>
      </tp>
      <tp>
        <v>79</v>
        <stp/>
        <stp>##V3_BDHV12</stp>
        <stp>AMZN US Equity</stp>
        <stp>IS_INC_TAX_EXP</stp>
        <stp>FQ4 2008</stp>
        <stp>FQ4 2008</stp>
        <stp>[FA1_j2ahgkxc.xlsx]Income - Adjusted!R21C42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1" s="2"/>
      </tp>
      <tp>
        <v>0</v>
        <stp/>
        <stp>##V3_BDHV12</stp>
        <stp>AMZN US Equity</stp>
        <stp>IS_INC_TAX_EXP</stp>
        <stp>FQ4 2002</stp>
        <stp>FQ4 2002</stp>
        <stp>[FA1_j2ahgkxc.xlsx]Income - Adjusted!R21C18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1" s="2"/>
      </tp>
      <tp>
        <v>431</v>
        <stp/>
        <stp>##V3_BDHV12</stp>
        <stp>AMZN US Equity</stp>
        <stp>EQTY_BEF_MINORITY_INT_DETAILED</stp>
        <stp>FQ4 2006</stp>
        <stp>FQ4 2006</stp>
        <stp>[FA1_j2ahgkxc.xlsx]Bal Sheet - Standardized!R52C34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2" s="3"/>
      </tp>
      <tp>
        <v>246</v>
        <stp/>
        <stp>##V3_BDHV12</stp>
        <stp>AMZN US Equity</stp>
        <stp>EQTY_BEF_MINORITY_INT_DETAILED</stp>
        <stp>FQ4 2005</stp>
        <stp>FQ4 2005</stp>
        <stp>[FA1_j2ahgkxc.xlsx]Bal Sheet - Standardized!R52C30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2" s="3"/>
      </tp>
      <tp>
        <v>-0.9</v>
        <stp/>
        <stp>##V3_BDHV12</stp>
        <stp>AMZN US Equity</stp>
        <stp>IS_DIL_EPS_BEF_XO</stp>
        <stp>FQ1 2000</stp>
        <stp>FQ1 2000</stp>
        <stp>[FA1_j2ahgkxc.xlsx]Per Share!R18C8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8" s="5"/>
      </tp>
      <tp t="s">
        <v>—</v>
        <stp/>
        <stp>##V3_BDHV12</stp>
        <stp>AMZN US Equity</stp>
        <stp>EQY_FLOAT</stp>
        <stp>FQ2 2003</stp>
        <stp>FQ2 2003</stp>
        <stp>[FA1_j2ahgkxc.xlsx]Stock Value!R14C20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4" s="6"/>
      </tp>
      <tp t="s">
        <v>—</v>
        <stp/>
        <stp>##V3_BDHV12</stp>
        <stp>AMZN US Equity</stp>
        <stp>EQY_FLOAT</stp>
        <stp>FQ3 2003</stp>
        <stp>FQ3 2003</stp>
        <stp>[FA1_j2ahgkxc.xlsx]Stock Value!R14C21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4" s="6"/>
      </tp>
      <tp>
        <v>302.798</v>
        <stp/>
        <stp>##V3_BDHV12</stp>
        <stp>AMZN US Equity</stp>
        <stp>EQY_FLOAT</stp>
        <stp>FQ4 2004</stp>
        <stp>FQ4 2004</stp>
        <stp>[FA1_j2ahgkxc.xlsx]Stock Value!R14C26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4" s="6"/>
      </tp>
      <tp>
        <v>414</v>
        <stp/>
        <stp>##V3_BDHV12</stp>
        <stp>AMZN US Equity</stp>
        <stp>BS_SH_OUT</stp>
        <stp>FQ3 2005</stp>
        <stp>FQ3 2005</stp>
        <stp>[FA1_j2ahgkxc.xlsx]Per Share!R6C29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5"/>
      </tp>
      <tp>
        <v>412</v>
        <stp/>
        <stp>##V3_BDHV12</stp>
        <stp>AMZN US Equity</stp>
        <stp>BS_SH_OUT</stp>
        <stp>FQ2 2005</stp>
        <stp>FQ2 2005</stp>
        <stp>[FA1_j2ahgkxc.xlsx]Per Share!R6C28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5"/>
      </tp>
      <tp>
        <v>296.23899999999998</v>
        <stp/>
        <stp>##V3_BDHV12</stp>
        <stp>AMZN US Equity</stp>
        <stp>EQY_FLOAT</stp>
        <stp>FQ1 2004</stp>
        <stp>FQ1 2004</stp>
        <stp>[FA1_j2ahgkxc.xlsx]Stock Value!R14C23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4" s="6"/>
      </tp>
      <tp>
        <v>0</v>
        <stp/>
        <stp>##V3_BDHV12</stp>
        <stp>AMZN US Equity</stp>
        <stp>OTHER_NONCUR_LIABS_SUB_DETAILED</stp>
        <stp>FQ1 1999</stp>
        <stp>FQ1 1999</stp>
        <stp>[FA1_j2ahgkxc.xlsx]Bal Sheet - Standardized!R43C4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3" s="3"/>
      </tp>
      <tp>
        <v>0</v>
        <stp/>
        <stp>##V3_BDHV12</stp>
        <stp>AMZN US Equity</stp>
        <stp>OTHER_NONCUR_LIABS_SUB_DETAILED</stp>
        <stp>FQ3 1999</stp>
        <stp>FQ3 1999</stp>
        <stp>[FA1_j2ahgkxc.xlsx]Bal Sheet - Standardized!R43C6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3" s="3"/>
      </tp>
      <tp>
        <v>325.26799999999997</v>
        <stp/>
        <stp>##V3_BDHV12</stp>
        <stp>AMZN US Equity</stp>
        <stp>EQY_FLOAT</stp>
        <stp>FQ3 2008</stp>
        <stp>FQ3 2008</stp>
        <stp>[FA1_j2ahgkxc.xlsx]Stock Value!R14C41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4" s="6"/>
      </tp>
      <tp>
        <v>0</v>
        <stp/>
        <stp>##V3_BDHV12</stp>
        <stp>AMZN US Equity</stp>
        <stp>OTHER_NONCUR_LIABS_SUB_DETAILED</stp>
        <stp>FQ2 1999</stp>
        <stp>FQ2 1999</stp>
        <stp>[FA1_j2ahgkxc.xlsx]Bal Sheet - Standardized!R43C5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3" s="3"/>
      </tp>
      <tp>
        <v>0</v>
        <stp/>
        <stp>##V3_BDHV12</stp>
        <stp>AMZN US Equity</stp>
        <stp>OTHER_NONCUR_LIABS_SUB_DETAILED</stp>
        <stp>FQ4 1998</stp>
        <stp>FQ4 1998</stp>
        <stp>[FA1_j2ahgkxc.xlsx]Bal Sheet - Standardized!R43C3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3" s="3"/>
      </tp>
      <tp>
        <v>317.02699999999999</v>
        <stp/>
        <stp>##V3_BDHV12</stp>
        <stp>AMZN US Equity</stp>
        <stp>EQY_FLOAT</stp>
        <stp>FQ2 2008</stp>
        <stp>FQ2 2008</stp>
        <stp>[FA1_j2ahgkxc.xlsx]Stock Value!R14C40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4" s="6"/>
      </tp>
      <tp>
        <v>0</v>
        <stp/>
        <stp>##V3_BDHV12</stp>
        <stp>AMZN US Equity</stp>
        <stp>OTHER_NONCUR_LIABS_SUB_DETAILED</stp>
        <stp>FQ4 1999</stp>
        <stp>FQ4 1999</stp>
        <stp>[FA1_j2ahgkxc.xlsx]Bal Sheet - Standardized!R43C7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3" s="3"/>
      </tp>
      <tp>
        <v>0</v>
        <stp/>
        <stp>##V3_BDHV12</stp>
        <stp>AMZN US Equity</stp>
        <stp>XO_GL_NET_OF_TAX</stp>
        <stp>FQ1 2003</stp>
        <stp>FQ1 2003</stp>
        <stp>[FA1_j2ahgkxc.xlsx]Income - Adjusted!R23C19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2"/>
      </tp>
      <tp>
        <v>0</v>
        <stp/>
        <stp>##V3_BDHV12</stp>
        <stp>AMZN US Equity</stp>
        <stp>XO_GL_NET_OF_TAX</stp>
        <stp>FQ1 2003</stp>
        <stp>FQ1 2003</stp>
        <stp>[FA1_j2ahgkxc.xlsx]Income - Adjusted!R32C19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2"/>
      </tp>
      <tp>
        <v>0</v>
        <stp/>
        <stp>##V3_BDHV12</stp>
        <stp>AMZN US Equity</stp>
        <stp>XO_GL_NET_OF_TAX</stp>
        <stp>FQ2 2003</stp>
        <stp>FQ2 2003</stp>
        <stp>[FA1_j2ahgkxc.xlsx]Income - Adjusted!R32C20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2"/>
      </tp>
      <tp>
        <v>0</v>
        <stp/>
        <stp>##V3_BDHV12</stp>
        <stp>AMZN US Equity</stp>
        <stp>XO_GL_NET_OF_TAX</stp>
        <stp>FQ3 2001</stp>
        <stp>FQ3 2001</stp>
        <stp>[FA1_j2ahgkxc.xlsx]Income - Adjusted!R23C13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2"/>
      </tp>
      <tp>
        <v>0</v>
        <stp/>
        <stp>##V3_BDHV12</stp>
        <stp>AMZN US Equity</stp>
        <stp>XO_GL_NET_OF_TAX</stp>
        <stp>FQ3 2001</stp>
        <stp>FQ3 2001</stp>
        <stp>[FA1_j2ahgkxc.xlsx]Income - Adjusted!R32C13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2"/>
      </tp>
      <tp>
        <v>0</v>
        <stp/>
        <stp>##V3_BDHV12</stp>
        <stp>AMZN US Equity</stp>
        <stp>XO_GL_NET_OF_TAX</stp>
        <stp>FQ2 2003</stp>
        <stp>FQ2 2003</stp>
        <stp>[FA1_j2ahgkxc.xlsx]Income - Adjusted!R23C20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2"/>
      </tp>
      <tp>
        <v>71.352999999999994</v>
        <stp/>
        <stp>##V3_BDHV12</stp>
        <stp>AMZN US Equity</stp>
        <stp>OTHER_CURRENT_ASSETS_DETAILED</stp>
        <stp>FQ2 2001</stp>
        <stp>FQ2 2001</stp>
        <stp>[FA1_j2ahgkxc.xlsx]Bal Sheet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3"/>
      </tp>
      <tp>
        <v>-232.63</v>
        <stp/>
        <stp>##V3_BDHV12</stp>
        <stp>AMZN US Equity</stp>
        <stp>CF_CASH_FROM_INV_ACT</stp>
        <stp>FQ4 2001</stp>
        <stp>FQ4 2001</stp>
        <stp>[FA1_j2ahgkxc.xlsx]Cash Flow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4"/>
      </tp>
      <tp>
        <v>748.06</v>
        <stp/>
        <stp>##V3_BDHV12</stp>
        <stp>AMZN US Equity</stp>
        <stp>IS_COGS_TO_FE_AND_PP_AND_G</stp>
        <stp>FQ4 2000</stp>
        <stp>FQ4 2000</stp>
        <stp>[FA1_j2ahgkxc.xlsx]Income - Adjusted!R7C10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7" s="2"/>
      </tp>
      <tp>
        <v>68</v>
        <stp/>
        <stp>##V3_BDHV12</stp>
        <stp>AMZN US Equity</stp>
        <stp>OTHER_CURRENT_ASSETS_DETAILED</stp>
        <stp>FQ1 2005</stp>
        <stp>FQ1 2005</stp>
        <stp>[FA1_j2ahgkxc.xlsx]Bal Sheet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3"/>
      </tp>
      <tp>
        <v>-102.926</v>
        <stp/>
        <stp>##V3_BDHV12</stp>
        <stp>AMZN US Equity</stp>
        <stp>CF_CASH_FROM_INV_ACT</stp>
        <stp>FQ4 2000</stp>
        <stp>FQ4 2000</stp>
        <stp>[FA1_j2ahgkxc.xlsx]Cash Flow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4"/>
      </tp>
      <tp>
        <v>125.883</v>
        <stp/>
        <stp>##V3_BDHV12</stp>
        <stp>AMZN US Equity</stp>
        <stp>OTHER_CURRENT_ASSETS_DETAILED</stp>
        <stp>FQ1 2004</stp>
        <stp>FQ1 2004</stp>
        <stp>[FA1_j2ahgkxc.xlsx]Bal Sheet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3"/>
      </tp>
      <tp>
        <v>93.203999999999994</v>
        <stp/>
        <stp>##V3_BDHV12</stp>
        <stp>AMZN US Equity</stp>
        <stp>OTHER_CURRENT_ASSETS_DETAILED</stp>
        <stp>FQ2 2002</stp>
        <stp>FQ2 2002</stp>
        <stp>[FA1_j2ahgkxc.xlsx]Bal Sheet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3"/>
      </tp>
      <tp>
        <v>-36.279000000000003</v>
        <stp/>
        <stp>##V3_BDHV12</stp>
        <stp>AMZN US Equity</stp>
        <stp>CF_CASH_FROM_INV_ACT</stp>
        <stp>FQ4 2002</stp>
        <stp>FQ4 2002</stp>
        <stp>[FA1_j2ahgkxc.xlsx]Cash Flow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4"/>
      </tp>
      <tp>
        <v>665.90700000000004</v>
        <stp/>
        <stp>##V3_BDHV12</stp>
        <stp>AMZN US Equity</stp>
        <stp>BS_OTHER_ASSETS_DEF_CHRG_OTHER</stp>
        <stp>FQ3 2000</stp>
        <stp>FQ3 2000</stp>
        <stp>[FA1_j2ahgkxc.xlsx]Bal Sheet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973.65200000000004</v>
        <stp/>
        <stp>##V3_BDHV12</stp>
        <stp>AMZN US Equity</stp>
        <stp>BS_OTHER_ASSETS_DEF_CHRG_OTHER</stp>
        <stp>FQ1 2000</stp>
        <stp>FQ1 2000</stp>
        <stp>[FA1_j2ahgkxc.xlsx]Bal Sheet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60.2</v>
        <stp/>
        <stp>##V3_BDHV12</stp>
        <stp>AMZN US Equity</stp>
        <stp>IS_ABNORMAL_ITEM</stp>
        <stp>FQ2 1999</stp>
        <stp>FQ2 1999</stp>
        <stp>[FA1_j2ahgkxc.xlsx]Income - Adjusted!R18C5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2"/>
      </tp>
      <tp>
        <v>40</v>
        <stp/>
        <stp>##V3_BDHV12</stp>
        <stp>AMZN US Equity</stp>
        <stp>BS_CURR_RENTAL_EXPENSE</stp>
        <stp>FQ4 2008</stp>
        <stp>FQ4 2008</stp>
        <stp>[FA1_j2ahgkxc.xlsx]Income - Adjusted!R58C42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8" s="2"/>
      </tp>
      <tp t="s">
        <v>—</v>
        <stp/>
        <stp>##V3_BDHV12</stp>
        <stp>AMZN US Equity</stp>
        <stp>IS_CAP_INT_EXP</stp>
        <stp>FQ2 2008</stp>
        <stp>FQ2 2008</stp>
        <stp>[FA1_j2ahgkxc.xlsx]Income - Adjusted!R56C40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6" s="2"/>
      </tp>
      <tp>
        <v>-0.2273</v>
        <stp/>
        <stp>##V3_BDHV12</stp>
        <stp>AMZN US Equity</stp>
        <stp>CASH_FLOW_PER_SH</stp>
        <stp>FQ3 1999</stp>
        <stp>FQ3 1999</stp>
        <stp>[FA1_j2ahgkxc.xlsx]Per Share!R22C6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2" s="5"/>
      </tp>
      <tp>
        <v>-5.4800000000000001E-2</v>
        <stp/>
        <stp>##V3_BDHV12</stp>
        <stp>AMZN US Equity</stp>
        <stp>CASH_FLOW_PER_SH</stp>
        <stp>FQ1 1999</stp>
        <stp>FQ1 1999</stp>
        <stp>[FA1_j2ahgkxc.xlsx]Per Share!R22C4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2" s="5"/>
      </tp>
      <tp>
        <v>4.9184999999999999</v>
        <stp/>
        <stp>##V3_BDHV12</stp>
        <stp>AMZN US Equity</stp>
        <stp>EBITDA_MARGIN</stp>
        <stp>FQ4 2002</stp>
        <stp>FQ4 2002</stp>
        <stp>[FA1_j2ahgkxc.xlsx]Cash Flow - Standardized!R46C18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46" s="4"/>
      </tp>
      <tp>
        <v>3.9361000000000002</v>
        <stp/>
        <stp>##V3_BDHV12</stp>
        <stp>AMZN US Equity</stp>
        <stp>EBITDA_MARGIN</stp>
        <stp>FQ2 2002</stp>
        <stp>FQ2 2002</stp>
        <stp>[FA1_j2ahgkxc.xlsx]Cash Flow - Standardized!R46C16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46" s="4"/>
      </tp>
      <tp>
        <v>5.1845999999999997</v>
        <stp/>
        <stp>##V3_BDHV12</stp>
        <stp>AMZN US Equity</stp>
        <stp>EBITDA_MARGIN</stp>
        <stp>FQ3 2002</stp>
        <stp>FQ3 2002</stp>
        <stp>[FA1_j2ahgkxc.xlsx]Cash Flow - Standardized!R46C17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46" s="4"/>
      </tp>
      <tp>
        <v>3.0811999999999999</v>
        <stp/>
        <stp>##V3_BDHV12</stp>
        <stp>AMZN US Equity</stp>
        <stp>EBITDA_MARGIN</stp>
        <stp>FQ1 2002</stp>
        <stp>FQ1 2002</stp>
        <stp>[FA1_j2ahgkxc.xlsx]Cash Flow - Standardized!R46C15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46" s="4"/>
      </tp>
      <tp>
        <v>2672</v>
        <stp/>
        <stp>##V3_BDHV12</stp>
        <stp>AMZN US Equity</stp>
        <stp>EQTY_BEF_MINORITY_INT_DETAILED</stp>
        <stp>FQ4 2008</stp>
        <stp>FQ4 2008</stp>
        <stp>[FA1_j2ahgkxc.xlsx]Bal Sheet - Standardized!R52C42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2" s="3"/>
      </tp>
      <tp>
        <v>-64</v>
        <stp/>
        <stp>##V3_BDHV12</stp>
        <stp>AMZN US Equity</stp>
        <stp>EQTY_BEF_MINORITY_INT_DETAILED</stp>
        <stp>FQ2 2005</stp>
        <stp>FQ2 2005</stp>
        <stp>[FA1_j2ahgkxc.xlsx]Bal Sheet - Standardized!R52C28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2" s="3"/>
      </tp>
      <tp>
        <v>-1289.0640000000001</v>
        <stp/>
        <stp>##V3_BDHV12</stp>
        <stp>AMZN US Equity</stp>
        <stp>EQTY_BEF_MINORITY_INT_DETAILED</stp>
        <stp>FQ1 2003</stp>
        <stp>FQ1 2003</stp>
        <stp>[FA1_j2ahgkxc.xlsx]Bal Sheet - Standardized!R52C19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2" s="3"/>
      </tp>
      <tp>
        <v>56</v>
        <stp/>
        <stp>##V3_BDHV12</stp>
        <stp>AMZN US Equity</stp>
        <stp>IS_INC_TAX_EXP</stp>
        <stp>FQ2 2005</stp>
        <stp>FQ2 2005</stp>
        <stp>[FA1_j2ahgkxc.xlsx]Income - Adjusted!R21C28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1" s="2"/>
      </tp>
      <tp>
        <v>73.153999999999996</v>
        <stp/>
        <stp>##V3_BDHV12</stp>
        <stp>AMZN US Equity</stp>
        <stp>PRETAX_INC</stp>
        <stp>FQ4 2003</stp>
        <stp>FQ4 2003</stp>
        <stp>[FA1_j2ahgkxc.xlsx]Income - Adjusted!R17C22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7" s="2"/>
      </tp>
      <tp>
        <v>205</v>
        <stp/>
        <stp>##V3_BDHV12</stp>
        <stp>AMZN US Equity</stp>
        <stp>PRETAX_INC</stp>
        <stp>FQ1 2008</stp>
        <stp>FQ1 2008</stp>
        <stp>[FA1_j2ahgkxc.xlsx]Income - Adjusted!R17C39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7" s="2"/>
      </tp>
      <tp>
        <v>54.146999999999998</v>
        <stp/>
        <stp>##V3_BDHV12</stp>
        <stp>AMZN US Equity</stp>
        <stp>PRETAX_INC</stp>
        <stp>FQ3 2004</stp>
        <stp>FQ3 2004</stp>
        <stp>[FA1_j2ahgkxc.xlsx]Income - Adjusted!R17C25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7" s="2"/>
      </tp>
      <tp>
        <v>111</v>
        <stp/>
        <stp>##V3_BDHV12</stp>
        <stp>AMZN US Equity</stp>
        <stp>PRETAX_INC</stp>
        <stp>FQ2 2007</stp>
        <stp>FQ2 2007</stp>
        <stp>[FA1_j2ahgkxc.xlsx]Income - Adjusted!R17C36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7" s="2"/>
      </tp>
      <tp>
        <v>196</v>
        <stp/>
        <stp>##V3_BDHV12</stp>
        <stp>AMZN US Equity</stp>
        <stp>EQTY_BEF_MINORITY_INT_DETAILED</stp>
        <stp>FQ3 2006</stp>
        <stp>FQ3 2006</stp>
        <stp>[FA1_j2ahgkxc.xlsx]Bal Sheet - Standardized!R52C33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2" s="3"/>
      </tp>
      <tp>
        <v>-1447.375</v>
        <stp/>
        <stp>##V3_BDHV12</stp>
        <stp>AMZN US Equity</stp>
        <stp>EQTY_BEF_MINORITY_INT_DETAILED</stp>
        <stp>FQ1 2002</stp>
        <stp>FQ1 2002</stp>
        <stp>[FA1_j2ahgkxc.xlsx]Bal Sheet - Standardized!R52C15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2" s="3"/>
      </tp>
      <tp>
        <v>-1246.8359</v>
        <stp/>
        <stp>##V3_BDHV12</stp>
        <stp>AMZN US Equity</stp>
        <stp>EQTY_BEF_MINORITY_INT_DETAILED</stp>
        <stp>FQ2 2003</stp>
        <stp>FQ2 2003</stp>
        <stp>[FA1_j2ahgkxc.xlsx]Bal Sheet - Standardized!R52C20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2" s="3"/>
      </tp>
      <tp>
        <v>-1253.4110000000001</v>
        <stp/>
        <stp>##V3_BDHV12</stp>
        <stp>AMZN US Equity</stp>
        <stp>EQTY_BEF_MINORITY_INT_DETAILED</stp>
        <stp>FQ1 2001</stp>
        <stp>FQ1 2001</stp>
        <stp>[FA1_j2ahgkxc.xlsx]Bal Sheet - Standardized!R52C11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2" s="3"/>
      </tp>
      <tp>
        <v>-790.85799999999995</v>
        <stp/>
        <stp>##V3_BDHV12</stp>
        <stp>AMZN US Equity</stp>
        <stp>EQTY_BEF_MINORITY_INT_DETAILED</stp>
        <stp>FQ2 2004</stp>
        <stp>FQ2 2004</stp>
        <stp>[FA1_j2ahgkxc.xlsx]Bal Sheet - Standardized!R52C24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2" s="3"/>
      </tp>
      <tp>
        <v>761</v>
        <stp/>
        <stp>##V3_BDHV12</stp>
        <stp>AMZN US Equity</stp>
        <stp>EQTY_BEF_MINORITY_INT_DETAILED</stp>
        <stp>FQ3 2007</stp>
        <stp>FQ3 2007</stp>
        <stp>[FA1_j2ahgkxc.xlsx]Bal Sheet - Standardized!R52C37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2" s="3"/>
      </tp>
      <tp>
        <v>0</v>
        <stp/>
        <stp>##V3_BDHV12</stp>
        <stp>AMZN US Equity</stp>
        <stp>OTHER_NONCURRENT_LIABS_DETAILED</stp>
        <stp>FQ3 1999</stp>
        <stp>FQ3 1999</stp>
        <stp>[FA1_j2ahgkxc.xlsx]Bal Sheet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0</v>
        <stp/>
        <stp>##V3_BDHV12</stp>
        <stp>AMZN US Equity</stp>
        <stp>OTHER_NONCURRENT_LIABS_DETAILED</stp>
        <stp>FQ1 1999</stp>
        <stp>FQ1 1999</stp>
        <stp>[FA1_j2ahgkxc.xlsx]Bal Sheet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3"/>
      </tp>
      <tp>
        <v>0</v>
        <stp/>
        <stp>##V3_BDHV12</stp>
        <stp>AMZN US Equity</stp>
        <stp>OTHER_NONCURRENT_LIABS_DETAILED</stp>
        <stp>FQ4 1998</stp>
        <stp>FQ4 1998</stp>
        <stp>[FA1_j2ahgkxc.xlsx]Bal Sheet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0</v>
        <stp/>
        <stp>##V3_BDHV12</stp>
        <stp>AMZN US Equity</stp>
        <stp>OTHER_NONCURRENT_LIABS_DETAILED</stp>
        <stp>FQ2 1999</stp>
        <stp>FQ2 1999</stp>
        <stp>[FA1_j2ahgkxc.xlsx]Bal Sheet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0</v>
        <stp/>
        <stp>##V3_BDHV12</stp>
        <stp>AMZN US Equity</stp>
        <stp>OTHER_NONCURRENT_LIABS_DETAILED</stp>
        <stp>FQ4 1999</stp>
        <stp>FQ4 1999</stp>
        <stp>[FA1_j2ahgkxc.xlsx]Bal Sheet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-23.7865</v>
        <stp/>
        <stp>##V3_BDHV12</stp>
        <stp>AMZN US Equity</stp>
        <stp>OPER_MARGIN</stp>
        <stp>FQ3 2000</stp>
        <stp>FQ3 2000</stp>
        <stp>[FA1_j2ahgkxc.xlsx]Income - Adjusted!R51C9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1" s="2"/>
      </tp>
      <tp>
        <v>-34.130800000000001</v>
        <stp/>
        <stp>##V3_BDHV12</stp>
        <stp>AMZN US Equity</stp>
        <stp>OPER_MARGIN</stp>
        <stp>FQ1 2000</stp>
        <stp>FQ1 2000</stp>
        <stp>[FA1_j2ahgkxc.xlsx]Income - Adjusted!R51C8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1" s="2"/>
      </tp>
      <tp>
        <v>0</v>
        <stp/>
        <stp>##V3_BDHV12</stp>
        <stp>AMZN US Equity</stp>
        <stp>XO_GL_NET_OF_TAX</stp>
        <stp>FQ3 2005</stp>
        <stp>FQ3 2005</stp>
        <stp>[FA1_j2ahgkxc.xlsx]Income - Adjusted!R23C29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2"/>
      </tp>
      <tp>
        <v>0</v>
        <stp/>
        <stp>##V3_BDHV12</stp>
        <stp>AMZN US Equity</stp>
        <stp>CF_CASH_PAID_FOR_TAX</stp>
        <stp>FQ2 2001</stp>
        <stp>FQ2 2001</stp>
        <stp>[FA1_j2ahgkxc.xlsx]Cash Flow - Standardized!R41C12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1" s="4"/>
      </tp>
      <tp>
        <v>0</v>
        <stp/>
        <stp>##V3_BDHV12</stp>
        <stp>AMZN US Equity</stp>
        <stp>XO_GL_NET_OF_TAX</stp>
        <stp>FQ3 2005</stp>
        <stp>FQ3 2005</stp>
        <stp>[FA1_j2ahgkxc.xlsx]Income - Adjusted!R32C29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2"/>
      </tp>
      <tp>
        <v>3</v>
        <stp/>
        <stp>##V3_BDHV12</stp>
        <stp>AMZN US Equity</stp>
        <stp>CF_CASH_PAID_FOR_TAX</stp>
        <stp>FQ1 2005</stp>
        <stp>FQ1 2005</stp>
        <stp>[FA1_j2ahgkxc.xlsx]Cash Flow - Standardized!R41C27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1" s="4"/>
      </tp>
      <tp>
        <v>0.44700000000000001</v>
        <stp/>
        <stp>##V3_BDHV12</stp>
        <stp>AMZN US Equity</stp>
        <stp>CF_CASH_PAID_FOR_TAX</stp>
        <stp>FQ1 2004</stp>
        <stp>FQ1 2004</stp>
        <stp>[FA1_j2ahgkxc.xlsx]Cash Flow - Standardized!R41C23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1" s="4"/>
      </tp>
      <tp>
        <v>0</v>
        <stp/>
        <stp>##V3_BDHV12</stp>
        <stp>AMZN US Equity</stp>
        <stp>CF_CASH_PAID_FOR_TAX</stp>
        <stp>FQ2 2002</stp>
        <stp>FQ2 2002</stp>
        <stp>[FA1_j2ahgkxc.xlsx]Cash Flow - Standardized!R41C16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1" s="4"/>
      </tp>
      <tp>
        <v>0</v>
        <stp/>
        <stp>##V3_BDHV12</stp>
        <stp>AMZN US Equity</stp>
        <stp>XO_GL_NET_OF_TAX</stp>
        <stp>FQ4 2001</stp>
        <stp>FQ4 2001</stp>
        <stp>[FA1_j2ahgkxc.xlsx]Income - Adjusted!R32C14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2"/>
      </tp>
      <tp>
        <v>0</v>
        <stp/>
        <stp>##V3_BDHV12</stp>
        <stp>AMZN US Equity</stp>
        <stp>XO_GL_NET_OF_TAX</stp>
        <stp>FQ4 2001</stp>
        <stp>FQ4 2001</stp>
        <stp>[FA1_j2ahgkxc.xlsx]Income - Adjusted!R23C14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2"/>
      </tp>
      <tp>
        <v>0</v>
        <stp/>
        <stp>##V3_BDHV12</stp>
        <stp>AMZN US Equity</stp>
        <stp>XO_GL_NET_OF_TAX</stp>
        <stp>FQ1 2006</stp>
        <stp>FQ1 2006</stp>
        <stp>[FA1_j2ahgkxc.xlsx]Income - Adjusted!R32C31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2"/>
      </tp>
      <tp>
        <v>0</v>
        <stp/>
        <stp>##V3_BDHV12</stp>
        <stp>AMZN US Equity</stp>
        <stp>XO_GL_NET_OF_TAX</stp>
        <stp>FQ1 2006</stp>
        <stp>FQ1 2006</stp>
        <stp>[FA1_j2ahgkxc.xlsx]Income - Adjusted!R23C31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2"/>
      </tp>
      <tp>
        <v>0</v>
        <stp/>
        <stp>##V3_BDHV12</stp>
        <stp>AMZN US Equity</stp>
        <stp>XO_GL_NET_OF_TAX</stp>
        <stp>FQ2 2004</stp>
        <stp>FQ2 2004</stp>
        <stp>[FA1_j2ahgkxc.xlsx]Income - Adjusted!R23C24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2"/>
      </tp>
      <tp>
        <v>0</v>
        <stp/>
        <stp>##V3_BDHV12</stp>
        <stp>AMZN US Equity</stp>
        <stp>XO_GL_NET_OF_TAX</stp>
        <stp>FQ2 2004</stp>
        <stp>FQ2 2004</stp>
        <stp>[FA1_j2ahgkxc.xlsx]Income - Adjusted!R32C24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2"/>
      </tp>
      <tp>
        <v>-95.018000000000001</v>
        <stp/>
        <stp>##V3_BDHV12</stp>
        <stp>AMZN US Equity</stp>
        <stp>CF_CASH_FROM_INV_ACT</stp>
        <stp>FQ3 2001</stp>
        <stp>FQ3 2001</stp>
        <stp>[FA1_j2ahgkxc.xlsx]Cash Flow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4"/>
      </tp>
      <tp>
        <v>-527</v>
        <stp/>
        <stp>##V3_BDHV12</stp>
        <stp>AMZN US Equity</stp>
        <stp>CF_CASH_FROM_INV_ACT</stp>
        <stp>FQ1 2008</stp>
        <stp>FQ1 2008</stp>
        <stp>[FA1_j2ahgkxc.xlsx]Cash Flow - Standardized!R28C39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4"/>
      </tp>
      <tp>
        <v>235</v>
        <stp/>
        <stp>##V3_BDHV12</stp>
        <stp>AMZN US Equity</stp>
        <stp>CF_CASH_FROM_INV_ACT</stp>
        <stp>FQ1 2007</stp>
        <stp>FQ1 2007</stp>
        <stp>[FA1_j2ahgkxc.xlsx]Cash Flow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4"/>
      </tp>
      <tp>
        <v>1444</v>
        <stp/>
        <stp>##V3_BDHV12</stp>
        <stp>AMZN US Equity</stp>
        <stp>IS_COGS_TO_FE_AND_PP_AND_G</stp>
        <stp>FQ1 2005</stp>
        <stp>FQ1 2005</stp>
        <stp>[FA1_j2ahgkxc.xlsx]Income - Adjusted!R7C27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7" s="2"/>
      </tp>
      <tp>
        <v>2296</v>
        <stp/>
        <stp>##V3_BDHV12</stp>
        <stp>AMZN US Equity</stp>
        <stp>IS_COGS_TO_FE_AND_PP_AND_G</stp>
        <stp>FQ1 2007</stp>
        <stp>FQ1 2007</stp>
        <stp>[FA1_j2ahgkxc.xlsx]Income - Adjusted!R7C35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7" s="2"/>
      </tp>
      <tp>
        <v>2500</v>
        <stp/>
        <stp>##V3_BDHV12</stp>
        <stp>AMZN US Equity</stp>
        <stp>IS_COGS_TO_FE_AND_PP_AND_G</stp>
        <stp>FQ3 2007</stp>
        <stp>FQ3 2007</stp>
        <stp>[FA1_j2ahgkxc.xlsx]Income - Adjusted!R7C37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7" s="2"/>
      </tp>
      <tp>
        <v>2185</v>
        <stp/>
        <stp>##V3_BDHV12</stp>
        <stp>AMZN US Equity</stp>
        <stp>IS_COGS_TO_FE_AND_PP_AND_G</stp>
        <stp>FQ2 2007</stp>
        <stp>FQ2 2007</stp>
        <stp>[FA1_j2ahgkxc.xlsx]Income - Adjusted!R7C36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7" s="2"/>
      </tp>
      <tp>
        <v>84</v>
        <stp/>
        <stp>##V3_BDHV12</stp>
        <stp>AMZN US Equity</stp>
        <stp>CF_CASH_FROM_INV_ACT</stp>
        <stp>FQ1 2006</stp>
        <stp>FQ1 2006</stp>
        <stp>[FA1_j2ahgkxc.xlsx]Cash Flow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4"/>
      </tp>
      <tp>
        <v>11.082000000000001</v>
        <stp/>
        <stp>##V3_BDHV12</stp>
        <stp>AMZN US Equity</stp>
        <stp>CF_CASH_FROM_INV_ACT</stp>
        <stp>FQ3 2002</stp>
        <stp>FQ3 2002</stp>
        <stp>[FA1_j2ahgkxc.xlsx]Cash Flow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4"/>
      </tp>
      <tp>
        <v>-171</v>
        <stp/>
        <stp>##V3_BDHV12</stp>
        <stp>AMZN US Equity</stp>
        <stp>OTHER_INVESTING_ACT_DETAILED</stp>
        <stp>FQ1 2005</stp>
        <stp>FQ1 2005</stp>
        <stp>[FA1_j2ahgkxc.xlsx]Cash Flow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4"/>
      </tp>
      <tp>
        <v>0</v>
        <stp/>
        <stp>##V3_BDHV12</stp>
        <stp>AMZN US Equity</stp>
        <stp>OTHER_INVESTING_ACT_DETAILED</stp>
        <stp>FQ2 2001</stp>
        <stp>FQ2 2001</stp>
        <stp>[FA1_j2ahgkxc.xlsx]Cash Flow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4"/>
      </tp>
      <tp>
        <v>65.088999999999999</v>
        <stp/>
        <stp>##V3_BDHV12</stp>
        <stp>AMZN US Equity</stp>
        <stp>OTHER_INVESTING_ACT_DETAILED</stp>
        <stp>FQ1 2004</stp>
        <stp>FQ1 2004</stp>
        <stp>[FA1_j2ahgkxc.xlsx]Cash Flow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4"/>
      </tp>
      <tp>
        <v>0</v>
        <stp/>
        <stp>##V3_BDHV12</stp>
        <stp>AMZN US Equity</stp>
        <stp>OTHER_INVESTING_ACT_DETAILED</stp>
        <stp>FQ2 2002</stp>
        <stp>FQ2 2002</stp>
        <stp>[FA1_j2ahgkxc.xlsx]Cash Flow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4"/>
      </tp>
      <tp>
        <v>-109.071</v>
        <stp/>
        <stp>##V3_BDHV12</stp>
        <stp>AMZN US Equity</stp>
        <stp>EBIT</stp>
        <stp>FQ2 1999</stp>
        <stp>FQ2 1999</stp>
        <stp>[FA1_j2ahgkxc.xlsx]Income - Adjusted!R49C5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9" s="2"/>
      </tp>
      <tp>
        <v>38</v>
        <stp/>
        <stp>##V3_BDHV12</stp>
        <stp>AMZN US Equity</stp>
        <stp>BS_CURR_RENTAL_EXPENSE</stp>
        <stp>FQ3 2008</stp>
        <stp>FQ3 2008</stp>
        <stp>[FA1_j2ahgkxc.xlsx]Income - Adjusted!R58C41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8" s="2"/>
      </tp>
      <tp>
        <v>25.617000000000001</v>
        <stp/>
        <stp>##V3_BDHV12</stp>
        <stp>AMZN US Equity</stp>
        <stp>EQTY_BEF_MINORITY_INT_DETAILED</stp>
        <stp>FQ1 2000</stp>
        <stp>FQ1 2000</stp>
        <stp>[FA1_j2ahgkxc.xlsx]Bal Sheet - Standardized!R52C8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2" s="3"/>
      </tp>
      <tp>
        <v>-487.16699999999997</v>
        <stp/>
        <stp>##V3_BDHV12</stp>
        <stp>AMZN US Equity</stp>
        <stp>EQTY_BEF_MINORITY_INT_DETAILED</stp>
        <stp>FQ3 2000</stp>
        <stp>FQ3 2000</stp>
        <stp>[FA1_j2ahgkxc.xlsx]Bal Sheet - Standardized!R52C9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2" s="3"/>
      </tp>
      <tp>
        <v>416.923</v>
        <stp/>
        <stp>##V3_BDHV12</stp>
        <stp>AMZN US Equity</stp>
        <stp>EQY_SH_OUT</stp>
        <stp>FQ1 2006</stp>
        <stp>FQ1 2006</stp>
        <stp>[FA1_j2ahgkxc.xlsx]Stock Value!R13C31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3" s="6"/>
      </tp>
      <tp>
        <v>418.94299999999998</v>
        <stp/>
        <stp>##V3_BDHV12</stp>
        <stp>AMZN US Equity</stp>
        <stp>EQY_SH_OUT</stp>
        <stp>FQ3 2006</stp>
        <stp>FQ3 2006</stp>
        <stp>[FA1_j2ahgkxc.xlsx]Stock Value!R13C33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3" s="6"/>
      </tp>
      <tp>
        <v>371.75299999999999</v>
        <stp/>
        <stp>##V3_BDHV12</stp>
        <stp>AMZN US Equity</stp>
        <stp>EQY_SH_OUT</stp>
        <stp>FQ4 2001</stp>
        <stp>FQ4 2001</stp>
        <stp>[FA1_j2ahgkxc.xlsx]Stock Value!R13C14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3" s="6"/>
      </tp>
      <tp>
        <v>417.86500000000001</v>
        <stp/>
        <stp>##V3_BDHV12</stp>
        <stp>AMZN US Equity</stp>
        <stp>EQY_SH_OUT</stp>
        <stp>FQ2 2006</stp>
        <stp>FQ2 2006</stp>
        <stp>[FA1_j2ahgkxc.xlsx]Stock Value!R13C32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3" s="6"/>
      </tp>
      <tp>
        <v>359.19099999999997</v>
        <stp/>
        <stp>##V3_BDHV12</stp>
        <stp>AMZN US Equity</stp>
        <stp>EQY_SH_OUT</stp>
        <stp>FQ2 2001</stp>
        <stp>FQ2 2001</stp>
        <stp>[FA1_j2ahgkxc.xlsx]Stock Value!R13C12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3" s="6"/>
      </tp>
      <tp>
        <v>411.92200000000003</v>
        <stp/>
        <stp>##V3_BDHV12</stp>
        <stp>AMZN US Equity</stp>
        <stp>EQY_SH_OUT</stp>
        <stp>FQ4 2006</stp>
        <stp>FQ4 2006</stp>
        <stp>[FA1_j2ahgkxc.xlsx]Stock Value!R13C34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3" s="6"/>
      </tp>
      <tp>
        <v>370.98099999999999</v>
        <stp/>
        <stp>##V3_BDHV12</stp>
        <stp>AMZN US Equity</stp>
        <stp>EQY_SH_OUT</stp>
        <stp>FQ3 2001</stp>
        <stp>FQ3 2001</stp>
        <stp>[FA1_j2ahgkxc.xlsx]Stock Value!R13C13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3" s="6"/>
      </tp>
      <tp>
        <v>358.55500000000001</v>
        <stp/>
        <stp>##V3_BDHV12</stp>
        <stp>AMZN US Equity</stp>
        <stp>EQY_SH_OUT</stp>
        <stp>FQ1 2001</stp>
        <stp>FQ1 2001</stp>
        <stp>[FA1_j2ahgkxc.xlsx]Stock Value!R13C11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3" s="6"/>
      </tp>
      <tp>
        <v>6.5815999999999999</v>
        <stp/>
        <stp>##V3_BDHV12</stp>
        <stp>AMZN US Equity</stp>
        <stp>EBITDA_MARGIN</stp>
        <stp>FQ4 2003</stp>
        <stp>FQ4 2003</stp>
        <stp>[FA1_j2ahgkxc.xlsx]Cash Flow - Standardized!R46C22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46" s="4"/>
      </tp>
      <tp>
        <v>5.8192000000000004</v>
        <stp/>
        <stp>##V3_BDHV12</stp>
        <stp>AMZN US Equity</stp>
        <stp>EBITDA_MARGIN</stp>
        <stp>FQ3 2003</stp>
        <stp>FQ3 2003</stp>
        <stp>[FA1_j2ahgkxc.xlsx]Cash Flow - Standardized!R46C21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46" s="4"/>
      </tp>
      <tp>
        <v>5.7079000000000004</v>
        <stp/>
        <stp>##V3_BDHV12</stp>
        <stp>AMZN US Equity</stp>
        <stp>EBITDA_MARGIN</stp>
        <stp>FQ2 2003</stp>
        <stp>FQ2 2003</stp>
        <stp>[FA1_j2ahgkxc.xlsx]Cash Flow - Standardized!R46C20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46" s="4"/>
      </tp>
      <tp>
        <v>5.2232000000000003</v>
        <stp/>
        <stp>##V3_BDHV12</stp>
        <stp>AMZN US Equity</stp>
        <stp>EBITDA_MARGIN</stp>
        <stp>FQ1 2003</stp>
        <stp>FQ1 2003</stp>
        <stp>[FA1_j2ahgkxc.xlsx]Cash Flow - Standardized!R46C19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46" s="4"/>
      </tp>
      <tp>
        <v>21.359000000000002</v>
        <stp/>
        <stp>##V3_BDHV12</stp>
        <stp>AMZN US Equity</stp>
        <stp>CF_INCR_CAP_STOCK</stp>
        <stp>FQ1 2000</stp>
        <stp>FQ1 2000</stp>
        <stp>[FA1_j2ahgkxc.xlsx]Cash Flow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4"/>
      </tp>
      <tp>
        <v>6</v>
        <stp/>
        <stp>##V3_BDHV12</stp>
        <stp>AMZN US Equity</stp>
        <stp>EQTY_BEF_MINORITY_INT_DETAILED</stp>
        <stp>FQ3 2005</stp>
        <stp>FQ3 2005</stp>
        <stp>[FA1_j2ahgkxc.xlsx]Bal Sheet - Standardized!R52C29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2" s="3"/>
      </tp>
      <tp>
        <v>21</v>
        <stp/>
        <stp>##V3_BDHV12</stp>
        <stp>AMZN US Equity</stp>
        <stp>IS_INC_TAX_EXP</stp>
        <stp>FQ3 2005</stp>
        <stp>FQ3 2005</stp>
        <stp>[FA1_j2ahgkxc.xlsx]Income - Adjusted!R21C29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1" s="2"/>
      </tp>
      <tp>
        <v>-545.14</v>
        <stp/>
        <stp>##V3_BDHV12</stp>
        <stp>AMZN US Equity</stp>
        <stp>PRETAX_INC</stp>
        <stp>FQ4 2000</stp>
        <stp>FQ4 2000</stp>
        <stp>[FA1_j2ahgkxc.xlsx]Income - Adjusted!R17C10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7" s="2"/>
      </tp>
      <tp>
        <v>-223.608</v>
        <stp/>
        <stp>##V3_BDHV12</stp>
        <stp>AMZN US Equity</stp>
        <stp>PRETAX_INC</stp>
        <stp>FQ1 2001</stp>
        <stp>FQ1 2001</stp>
        <stp>[FA1_j2ahgkxc.xlsx]Income - Adjusted!R17C11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7" s="2"/>
      </tp>
      <tp>
        <v>124</v>
        <stp/>
        <stp>##V3_BDHV12</stp>
        <stp>AMZN US Equity</stp>
        <stp>PRETAX_INC</stp>
        <stp>FQ3 2007</stp>
        <stp>FQ3 2007</stp>
        <stp>[FA1_j2ahgkxc.xlsx]Income - Adjusted!R17C37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7" s="2"/>
      </tp>
      <tp>
        <v>76.48</v>
        <stp/>
        <stp>##V3_BDHV12</stp>
        <stp>AMZN US Equity</stp>
        <stp>PRETAX_INC</stp>
        <stp>FQ2 2004</stp>
        <stp>FQ2 2004</stp>
        <stp>[FA1_j2ahgkxc.xlsx]Income - Adjusted!R17C24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7" s="2"/>
      </tp>
      <tp>
        <v>383</v>
        <stp/>
        <stp>##V3_BDHV12</stp>
        <stp>AMZN US Equity</stp>
        <stp>EQTY_BEF_MINORITY_INT_DETAILED</stp>
        <stp>FQ2 2006</stp>
        <stp>FQ2 2006</stp>
        <stp>[FA1_j2ahgkxc.xlsx]Bal Sheet - Standardized!R52C32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2" s="3"/>
      </tp>
      <tp>
        <v>13.794</v>
        <stp/>
        <stp>##V3_BDHV12</stp>
        <stp>AMZN US Equity</stp>
        <stp>CF_INCR_CAP_STOCK</stp>
        <stp>FQ2 2000</stp>
        <stp>FQ2 2000</stp>
        <stp>[FA1_j2ahgkxc.xlsx]Cash Flow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4"/>
      </tp>
      <tp>
        <v>4.5640000000000001</v>
        <stp/>
        <stp>##V3_BDHV12</stp>
        <stp>AMZN US Equity</stp>
        <stp>CF_INCR_CAP_STOCK</stp>
        <stp>FQ3 2000</stp>
        <stp>FQ3 2000</stp>
        <stp>[FA1_j2ahgkxc.xlsx]Cash Flow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4"/>
      </tp>
      <tp>
        <v>-1158.0338999999999</v>
        <stp/>
        <stp>##V3_BDHV12</stp>
        <stp>AMZN US Equity</stp>
        <stp>EQTY_BEF_MINORITY_INT_DETAILED</stp>
        <stp>FQ3 2003</stp>
        <stp>FQ3 2003</stp>
        <stp>[FA1_j2ahgkxc.xlsx]Bal Sheet - Standardized!R52C21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2" s="3"/>
      </tp>
      <tp>
        <v>-721.07680000000005</v>
        <stp/>
        <stp>##V3_BDHV12</stp>
        <stp>AMZN US Equity</stp>
        <stp>EQTY_BEF_MINORITY_INT_DETAILED</stp>
        <stp>FQ3 2004</stp>
        <stp>FQ3 2004</stp>
        <stp>[FA1_j2ahgkxc.xlsx]Bal Sheet - Standardized!R52C25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2" s="3"/>
      </tp>
      <tp>
        <v>550</v>
        <stp/>
        <stp>##V3_BDHV12</stp>
        <stp>AMZN US Equity</stp>
        <stp>EQTY_BEF_MINORITY_INT_DETAILED</stp>
        <stp>FQ2 2007</stp>
        <stp>FQ2 2007</stp>
        <stp>[FA1_j2ahgkxc.xlsx]Bal Sheet - Standardized!R52C36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2" s="3"/>
      </tp>
      <tp>
        <v>349.959</v>
        <stp/>
        <stp>##V3_BDHV12</stp>
        <stp>AMZN US Equity</stp>
        <stp>BS_SH_OUT</stp>
        <stp>FQ1 2000</stp>
        <stp>FQ1 2000</stp>
        <stp>[FA1_j2ahgkxc.xlsx]Bal Sheet - Standardized!R59C8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9" s="3"/>
      </tp>
      <tp t="s">
        <v>—</v>
        <stp/>
        <stp>##V3_BDHV12</stp>
        <stp>AMZN US Equity</stp>
        <stp>EQY_FLOAT</stp>
        <stp>FQ3 2002</stp>
        <stp>FQ3 2002</stp>
        <stp>[FA1_j2ahgkxc.xlsx]Stock Value!R14C17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4" s="6"/>
      </tp>
      <tp>
        <v>309.32499999999999</v>
        <stp/>
        <stp>##V3_BDHV12</stp>
        <stp>AMZN US Equity</stp>
        <stp>EQY_FLOAT</stp>
        <stp>FQ4 2005</stp>
        <stp>FQ4 2005</stp>
        <stp>[FA1_j2ahgkxc.xlsx]Stock Value!R14C30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4" s="6"/>
      </tp>
      <tp t="s">
        <v>—</v>
        <stp/>
        <stp>##V3_BDHV12</stp>
        <stp>AMZN US Equity</stp>
        <stp>EQY_FLOAT</stp>
        <stp>FQ2 2002</stp>
        <stp>FQ2 2002</stp>
        <stp>[FA1_j2ahgkxc.xlsx]Stock Value!R14C16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4" s="6"/>
      </tp>
      <tp t="s">
        <v>—</v>
        <stp/>
        <stp>##V3_BDHV12</stp>
        <stp>AMZN US Equity</stp>
        <stp>EQY_FLOAT</stp>
        <stp>FQ1 2002</stp>
        <stp>FQ1 2002</stp>
        <stp>[FA1_j2ahgkxc.xlsx]Stock Value!R14C15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4" s="6"/>
      </tp>
      <tp>
        <v>304.67899999999997</v>
        <stp/>
        <stp>##V3_BDHV12</stp>
        <stp>AMZN US Equity</stp>
        <stp>EQY_FLOAT</stp>
        <stp>FQ2 2007</stp>
        <stp>FQ2 2007</stp>
        <stp>[FA1_j2ahgkxc.xlsx]Stock Value!R14C36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4" s="6"/>
      </tp>
      <tp>
        <v>2.2408999999999999</v>
        <stp/>
        <stp>##V3_BDHV12</stp>
        <stp>AMZN US Equity</stp>
        <stp>CUR_RATIO</stp>
        <stp>FQ1 2000</stp>
        <stp>FQ1 2000</stp>
        <stp>[FA1_j2ahgkxc.xlsx]Bal Sheet - Standardized!R68C8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8" s="3"/>
      </tp>
      <tp t="s">
        <v>—</v>
        <stp/>
        <stp>##V3_BDHV12</stp>
        <stp>AMZN US Equity</stp>
        <stp>EQY_FLOAT</stp>
        <stp>FQ4 2000</stp>
        <stp>FQ4 2000</stp>
        <stp>[FA1_j2ahgkxc.xlsx]Stock Value!R14C10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4" s="6"/>
      </tp>
      <tp>
        <v>308.827</v>
        <stp/>
        <stp>##V3_BDHV12</stp>
        <stp>AMZN US Equity</stp>
        <stp>EQY_FLOAT</stp>
        <stp>FQ3 2007</stp>
        <stp>FQ3 2007</stp>
        <stp>[FA1_j2ahgkxc.xlsx]Stock Value!R14C37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4" s="6"/>
      </tp>
      <tp>
        <v>309.58100000000002</v>
        <stp/>
        <stp>##V3_BDHV12</stp>
        <stp>AMZN US Equity</stp>
        <stp>EQY_FLOAT</stp>
        <stp>FQ1 2007</stp>
        <stp>FQ1 2007</stp>
        <stp>[FA1_j2ahgkxc.xlsx]Stock Value!R14C35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4" s="6"/>
      </tp>
      <tp>
        <v>0</v>
        <stp/>
        <stp>##V3_BDHV12</stp>
        <stp>AMZN US Equity</stp>
        <stp>XO_GL_NET_OF_TAX</stp>
        <stp>FQ2 2005</stp>
        <stp>FQ2 2005</stp>
        <stp>[FA1_j2ahgkxc.xlsx]Income - Adjusted!R32C28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2"/>
      </tp>
      <tp>
        <v>0</v>
        <stp/>
        <stp>##V3_BDHV12</stp>
        <stp>AMZN US Equity</stp>
        <stp>CF_CASH_PAID_FOR_TAX</stp>
        <stp>FQ3 2001</stp>
        <stp>FQ3 2001</stp>
        <stp>[FA1_j2ahgkxc.xlsx]Cash Flow - Standardized!R41C13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1" s="4"/>
      </tp>
      <tp>
        <v>0</v>
        <stp/>
        <stp>##V3_BDHV12</stp>
        <stp>AMZN US Equity</stp>
        <stp>XO_GL_NET_OF_TAX</stp>
        <stp>FQ2 2005</stp>
        <stp>FQ2 2005</stp>
        <stp>[FA1_j2ahgkxc.xlsx]Income - Adjusted!R23C28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2"/>
      </tp>
      <tp>
        <v>8</v>
        <stp/>
        <stp>##V3_BDHV12</stp>
        <stp>AMZN US Equity</stp>
        <stp>CF_CASH_PAID_FOR_TAX</stp>
        <stp>FQ1 2008</stp>
        <stp>FQ1 2008</stp>
        <stp>[FA1_j2ahgkxc.xlsx]Cash Flow - Standardized!R41C39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1" s="4"/>
      </tp>
      <tp>
        <v>3</v>
        <stp/>
        <stp>##V3_BDHV12</stp>
        <stp>AMZN US Equity</stp>
        <stp>CF_CASH_PAID_FOR_TAX</stp>
        <stp>FQ1 2007</stp>
        <stp>FQ1 2007</stp>
        <stp>[FA1_j2ahgkxc.xlsx]Cash Flow - Standardized!R41C35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1" s="4"/>
      </tp>
      <tp>
        <v>5</v>
        <stp/>
        <stp>##V3_BDHV12</stp>
        <stp>AMZN US Equity</stp>
        <stp>CF_CASH_PAID_FOR_TAX</stp>
        <stp>FQ1 2006</stp>
        <stp>FQ1 2006</stp>
        <stp>[FA1_j2ahgkxc.xlsx]Cash Flow - Standardized!R41C31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1" s="4"/>
      </tp>
      <tp>
        <v>0</v>
        <stp/>
        <stp>##V3_BDHV12</stp>
        <stp>AMZN US Equity</stp>
        <stp>CF_CASH_PAID_FOR_TAX</stp>
        <stp>FQ3 2002</stp>
        <stp>FQ3 2002</stp>
        <stp>[FA1_j2ahgkxc.xlsx]Cash Flow - Standardized!R41C17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1" s="4"/>
      </tp>
      <tp>
        <v>0</v>
        <stp/>
        <stp>##V3_BDHV12</stp>
        <stp>AMZN US Equity</stp>
        <stp>XO_GL_NET_OF_TAX</stp>
        <stp>FQ3 2004</stp>
        <stp>FQ3 2004</stp>
        <stp>[FA1_j2ahgkxc.xlsx]Income - Adjusted!R32C25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2"/>
      </tp>
      <tp>
        <v>0</v>
        <stp/>
        <stp>##V3_BDHV12</stp>
        <stp>AMZN US Equity</stp>
        <stp>XO_GL_NET_OF_TAX</stp>
        <stp>FQ4 2003</stp>
        <stp>FQ4 2003</stp>
        <stp>[FA1_j2ahgkxc.xlsx]Income - Adjusted!R32C22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2"/>
      </tp>
      <tp>
        <v>0</v>
        <stp/>
        <stp>##V3_BDHV12</stp>
        <stp>AMZN US Equity</stp>
        <stp>XO_GL_NET_OF_TAX</stp>
        <stp>FQ4 2000</stp>
        <stp>FQ4 2000</stp>
        <stp>[FA1_j2ahgkxc.xlsx]Income - Adjusted!R23C10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2"/>
      </tp>
      <tp>
        <v>0</v>
        <stp/>
        <stp>##V3_BDHV12</stp>
        <stp>AMZN US Equity</stp>
        <stp>XO_GL_NET_OF_TAX</stp>
        <stp>FQ4 2000</stp>
        <stp>FQ4 2000</stp>
        <stp>[FA1_j2ahgkxc.xlsx]Income - Adjusted!R32C10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2"/>
      </tp>
      <tp>
        <v>0</v>
        <stp/>
        <stp>##V3_BDHV12</stp>
        <stp>AMZN US Equity</stp>
        <stp>XO_GL_NET_OF_TAX</stp>
        <stp>FQ3 2004</stp>
        <stp>FQ3 2004</stp>
        <stp>[FA1_j2ahgkxc.xlsx]Income - Adjusted!R23C25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2"/>
      </tp>
      <tp>
        <v>0</v>
        <stp/>
        <stp>##V3_BDHV12</stp>
        <stp>AMZN US Equity</stp>
        <stp>XO_GL_NET_OF_TAX</stp>
        <stp>FQ4 2003</stp>
        <stp>FQ4 2003</stp>
        <stp>[FA1_j2ahgkxc.xlsx]Income - Adjusted!R23C22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2"/>
      </tp>
      <tp>
        <v>0</v>
        <stp/>
        <stp>##V3_BDHV12</stp>
        <stp>AMZN US Equity</stp>
        <stp>XO_GL_NET_OF_TAX</stp>
        <stp>FQ1 2007</stp>
        <stp>FQ1 2007</stp>
        <stp>[FA1_j2ahgkxc.xlsx]Income - Adjusted!R23C35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2"/>
      </tp>
      <tp>
        <v>0</v>
        <stp/>
        <stp>##V3_BDHV12</stp>
        <stp>AMZN US Equity</stp>
        <stp>XO_GL_NET_OF_TAX</stp>
        <stp>FQ1 2007</stp>
        <stp>FQ1 2007</stp>
        <stp>[FA1_j2ahgkxc.xlsx]Income - Adjusted!R32C35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2"/>
      </tp>
      <tp>
        <v>67.613</v>
        <stp/>
        <stp>##V3_BDHV12</stp>
        <stp>AMZN US Equity</stp>
        <stp>OTHER_CURRENT_ASSETS_DETAILED</stp>
        <stp>FQ4 2001</stp>
        <stp>FQ4 2001</stp>
        <stp>[FA1_j2ahgkxc.xlsx]Bal Sheet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3"/>
      </tp>
      <tp>
        <v>29.803000000000001</v>
        <stp/>
        <stp>##V3_BDHV12</stp>
        <stp>AMZN US Equity</stp>
        <stp>CF_CASH_FROM_INV_ACT</stp>
        <stp>FQ2 2001</stp>
        <stp>FQ2 2001</stp>
        <stp>[FA1_j2ahgkxc.xlsx]Cash Flow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4"/>
      </tp>
      <tp>
        <v>-197</v>
        <stp/>
        <stp>##V3_BDHV12</stp>
        <stp>AMZN US Equity</stp>
        <stp>CF_CASH_FROM_INV_ACT</stp>
        <stp>FQ1 2005</stp>
        <stp>FQ1 2005</stp>
        <stp>[FA1_j2ahgkxc.xlsx]Cash Flow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4"/>
      </tp>
      <tp>
        <v>1046.2950000000001</v>
        <stp/>
        <stp>##V3_BDHV12</stp>
        <stp>AMZN US Equity</stp>
        <stp>IS_COGS_TO_FE_AND_PP_AND_G</stp>
        <stp>FQ2 2004</stp>
        <stp>FQ2 2004</stp>
        <stp>[FA1_j2ahgkxc.xlsx]Income - Adjusted!R7C24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7" s="2"/>
      </tp>
      <tp>
        <v>1106.8240000000001</v>
        <stp/>
        <stp>##V3_BDHV12</stp>
        <stp>AMZN US Equity</stp>
        <stp>IS_COGS_TO_FE_AND_PP_AND_G</stp>
        <stp>FQ3 2004</stp>
        <stp>FQ3 2004</stp>
        <stp>[FA1_j2ahgkxc.xlsx]Income - Adjusted!R7C25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7" s="2"/>
      </tp>
      <tp>
        <v>86.043999999999997</v>
        <stp/>
        <stp>##V3_BDHV12</stp>
        <stp>AMZN US Equity</stp>
        <stp>OTHER_CURRENT_ASSETS_DETAILED</stp>
        <stp>FQ4 2000</stp>
        <stp>FQ4 2000</stp>
        <stp>[FA1_j2ahgkxc.xlsx]Bal Sheet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55.576000000000001</v>
        <stp/>
        <stp>##V3_BDHV12</stp>
        <stp>AMZN US Equity</stp>
        <stp>CF_CASH_FROM_INV_ACT</stp>
        <stp>FQ1 2004</stp>
        <stp>FQ1 2004</stp>
        <stp>[FA1_j2ahgkxc.xlsx]Cash Flow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4"/>
      </tp>
      <tp>
        <v>-93.980999999999995</v>
        <stp/>
        <stp>##V3_BDHV12</stp>
        <stp>AMZN US Equity</stp>
        <stp>CF_CASH_FROM_INV_ACT</stp>
        <stp>FQ2 2002</stp>
        <stp>FQ2 2002</stp>
        <stp>[FA1_j2ahgkxc.xlsx]Cash Flow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4"/>
      </tp>
      <tp>
        <v>269</v>
        <stp/>
        <stp>##V3_BDHV12</stp>
        <stp>AMZN US Equity</stp>
        <stp>OTHER_INVESTING_ACT_DETAILED</stp>
        <stp>FQ1 2007</stp>
        <stp>FQ1 2007</stp>
        <stp>[FA1_j2ahgkxc.xlsx]Cash Flow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4"/>
      </tp>
      <tp>
        <v>0</v>
        <stp/>
        <stp>##V3_BDHV12</stp>
        <stp>AMZN US Equity</stp>
        <stp>OTHER_INVESTING_ACT_DETAILED</stp>
        <stp>FQ3 2001</stp>
        <stp>FQ3 2001</stp>
        <stp>[FA1_j2ahgkxc.xlsx]Cash Flow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4"/>
      </tp>
      <tp>
        <v>-466</v>
        <stp/>
        <stp>##V3_BDHV12</stp>
        <stp>AMZN US Equity</stp>
        <stp>OTHER_INVESTING_ACT_DETAILED</stp>
        <stp>FQ1 2008</stp>
        <stp>FQ1 2008</stp>
        <stp>[FA1_j2ahgkxc.xlsx]Cash Flow - Standardized!R27C39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4"/>
      </tp>
      <tp>
        <v>130</v>
        <stp/>
        <stp>##V3_BDHV12</stp>
        <stp>AMZN US Equity</stp>
        <stp>OTHER_INVESTING_ACT_DETAILED</stp>
        <stp>FQ1 2006</stp>
        <stp>FQ1 2006</stp>
        <stp>[FA1_j2ahgkxc.xlsx]Cash Flow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4"/>
      </tp>
      <tp>
        <v>0</v>
        <stp/>
        <stp>##V3_BDHV12</stp>
        <stp>AMZN US Equity</stp>
        <stp>OTHER_INVESTING_ACT_DETAILED</stp>
        <stp>FQ3 2002</stp>
        <stp>FQ3 2002</stp>
        <stp>[FA1_j2ahgkxc.xlsx]Cash Flow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4"/>
      </tp>
      <tp>
        <v>112.282</v>
        <stp/>
        <stp>##V3_BDHV12</stp>
        <stp>AMZN US Equity</stp>
        <stp>OTHER_CURRENT_ASSETS_DETAILED</stp>
        <stp>FQ4 2002</stp>
        <stp>FQ4 2002</stp>
        <stp>[FA1_j2ahgkxc.xlsx]Bal Sheet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3"/>
      </tp>
      <tp>
        <v>-17.995999999999999</v>
        <stp/>
        <stp>##V3_BDHV12</stp>
        <stp>AMZN US Equity</stp>
        <stp>EBIT</stp>
        <stp>FQ4 1998</stp>
        <stp>FQ4 1998</stp>
        <stp>[FA1_j2ahgkxc.xlsx]Income - Adjusted!R49C3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9" s="2"/>
      </tp>
      <tp>
        <v>220.64599999999999</v>
        <stp/>
        <stp>##V3_BDHV12</stp>
        <stp>AMZN US Equity</stp>
        <stp>BS_INVENTORIES</stp>
        <stp>FQ4 1999</stp>
        <stp>FQ4 1999</stp>
        <stp>[FA1_j2ahgkxc.xlsx]Bal Sheet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3"/>
      </tp>
      <tp>
        <v>24.247</v>
        <stp/>
        <stp>##V3_BDHV12</stp>
        <stp>AMZN US Equity</stp>
        <stp>IS_ABNORMAL_ITEM</stp>
        <stp>FQ4 1998</stp>
        <stp>FQ4 1998</stp>
        <stp>[FA1_j2ahgkxc.xlsx]Income - Adjusted!R18C3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2"/>
      </tp>
      <tp>
        <v>45.235999999999997</v>
        <stp/>
        <stp>##V3_BDHV12</stp>
        <stp>AMZN US Equity</stp>
        <stp>BS_INVENTORIES</stp>
        <stp>FQ1 1999</stp>
        <stp>FQ1 1999</stp>
        <stp>[FA1_j2ahgkxc.xlsx]Bal Sheet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3"/>
      </tp>
      <tp>
        <v>118.79300000000001</v>
        <stp/>
        <stp>##V3_BDHV12</stp>
        <stp>AMZN US Equity</stp>
        <stp>BS_INVENTORIES</stp>
        <stp>FQ3 1999</stp>
        <stp>FQ3 1999</stp>
        <stp>[FA1_j2ahgkxc.xlsx]Bal Sheet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3"/>
      </tp>
      <tp>
        <v>137.01</v>
        <stp/>
        <stp>##V3_BDHV12</stp>
        <stp>AMZN US Equity</stp>
        <stp>IS_ABNORMAL_ITEM</stp>
        <stp>FQ4 1999</stp>
        <stp>FQ4 1999</stp>
        <stp>[FA1_j2ahgkxc.xlsx]Income - Adjusted!R18C7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2"/>
      </tp>
      <tp>
        <v>29.501000000000001</v>
        <stp/>
        <stp>##V3_BDHV12</stp>
        <stp>AMZN US Equity</stp>
        <stp>BS_INVENTORIES</stp>
        <stp>FQ4 1998</stp>
        <stp>FQ4 1998</stp>
        <stp>[FA1_j2ahgkxc.xlsx]Bal Sheet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3"/>
      </tp>
      <tp>
        <v>59.387</v>
        <stp/>
        <stp>##V3_BDHV12</stp>
        <stp>AMZN US Equity</stp>
        <stp>BS_INVENTORIES</stp>
        <stp>FQ2 1999</stp>
        <stp>FQ2 1999</stp>
        <stp>[FA1_j2ahgkxc.xlsx]Bal Sheet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3"/>
      </tp>
      <tp>
        <v>41</v>
        <stp/>
        <stp>##V3_BDHV12</stp>
        <stp>AMZN US Equity</stp>
        <stp>BS_CURR_RENTAL_EXPENSE</stp>
        <stp>FQ2 2008</stp>
        <stp>FQ2 2008</stp>
        <stp>[FA1_j2ahgkxc.xlsx]Income - Adjusted!R58C40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8" s="2"/>
      </tp>
      <tp t="s">
        <v>—</v>
        <stp/>
        <stp>##V3_BDHV12</stp>
        <stp>AMZN US Equity</stp>
        <stp>IS_CAP_INT_EXP</stp>
        <stp>FQ4 2008</stp>
        <stp>FQ4 2008</stp>
        <stp>[FA1_j2ahgkxc.xlsx]Income - Adjusted!R56C42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6" s="2"/>
      </tp>
      <tp>
        <v>9.3100000000000002E-2</v>
        <stp/>
        <stp>##V3_BDHV12</stp>
        <stp>AMZN US Equity</stp>
        <stp>CASH_FLOW_PER_SH</stp>
        <stp>FQ4 1999</stp>
        <stp>FQ4 1999</stp>
        <stp>[FA1_j2ahgkxc.xlsx]Per Share!R22C7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2" s="5"/>
      </tp>
      <tp>
        <v>-10.107100000000001</v>
        <stp/>
        <stp>##V3_BDHV12</stp>
        <stp>AMZN US Equity</stp>
        <stp>EBITDA_MARGIN</stp>
        <stp>FQ4 2000</stp>
        <stp>FQ4 2000</stp>
        <stp>[FA1_j2ahgkxc.xlsx]Cash Flow - Standardized!R46C10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46" s="4"/>
      </tp>
      <tp>
        <v>74</v>
        <stp/>
        <stp>##V3_BDHV12</stp>
        <stp>AMZN US Equity</stp>
        <stp>IS_INC_TAX_EXP</stp>
        <stp>FQ4 2007</stp>
        <stp>FQ4 2007</stp>
        <stp>[FA1_j2ahgkxc.xlsx]Income - Adjusted!R21C38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1" s="2"/>
      </tp>
      <tp>
        <v>-168.35900000000001</v>
        <stp/>
        <stp>##V3_BDHV12</stp>
        <stp>AMZN US Equity</stp>
        <stp>PRETAX_INC</stp>
        <stp>FQ2 2001</stp>
        <stp>FQ2 2001</stp>
        <stp>[FA1_j2ahgkxc.xlsx]Income - Adjusted!R17C12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7" s="2"/>
      </tp>
      <tp>
        <v>-43.314</v>
        <stp/>
        <stp>##V3_BDHV12</stp>
        <stp>AMZN US Equity</stp>
        <stp>PRETAX_INC</stp>
        <stp>FQ2 2003</stp>
        <stp>FQ2 2003</stp>
        <stp>[FA1_j2ahgkxc.xlsx]Income - Adjusted!R17C20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7" s="2"/>
      </tp>
      <tp>
        <v>324</v>
        <stp/>
        <stp>##V3_BDHV12</stp>
        <stp>AMZN US Equity</stp>
        <stp>EQTY_BEF_MINORITY_INT_DETAILED</stp>
        <stp>FQ1 2006</stp>
        <stp>FQ1 2006</stp>
        <stp>[FA1_j2ahgkxc.xlsx]Bal Sheet - Standardized!R52C31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2" s="3"/>
      </tp>
      <tp>
        <v>-1478.4387999999999</v>
        <stp/>
        <stp>##V3_BDHV12</stp>
        <stp>AMZN US Equity</stp>
        <stp>EQTY_BEF_MINORITY_INT_DETAILED</stp>
        <stp>FQ3 2002</stp>
        <stp>FQ3 2002</stp>
        <stp>[FA1_j2ahgkxc.xlsx]Bal Sheet - Standardized!R52C17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2" s="3"/>
      </tp>
      <tp>
        <v>1470</v>
        <stp/>
        <stp>##V3_BDHV12</stp>
        <stp>AMZN US Equity</stp>
        <stp>EQTY_BEF_MINORITY_INT_DETAILED</stp>
        <stp>FQ1 2008</stp>
        <stp>FQ1 2008</stp>
        <stp>[FA1_j2ahgkxc.xlsx]Bal Sheet - Standardized!R52C39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2" s="3"/>
      </tp>
      <tp>
        <v>-1453.9939999999999</v>
        <stp/>
        <stp>##V3_BDHV12</stp>
        <stp>AMZN US Equity</stp>
        <stp>EQTY_BEF_MINORITY_INT_DETAILED</stp>
        <stp>FQ3 2001</stp>
        <stp>FQ3 2001</stp>
        <stp>[FA1_j2ahgkxc.xlsx]Bal Sheet - Standardized!R52C13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2" s="3"/>
      </tp>
      <tp>
        <v>353</v>
        <stp/>
        <stp>##V3_BDHV12</stp>
        <stp>AMZN US Equity</stp>
        <stp>EQTY_BEF_MINORITY_INT_DETAILED</stp>
        <stp>FQ1 2007</stp>
        <stp>FQ1 2007</stp>
        <stp>[FA1_j2ahgkxc.xlsx]Bal Sheet - Standardized!R52C35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2" s="3"/>
      </tp>
      <tp>
        <v>356.10199999999998</v>
        <stp/>
        <stp>##V3_BDHV12</stp>
        <stp>AMZN US Equity</stp>
        <stp>BS_SH_OUT</stp>
        <stp>FQ3 2000</stp>
        <stp>FQ3 2000</stp>
        <stp>[FA1_j2ahgkxc.xlsx]Bal Sheet - Standardized!R59C9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9" s="3"/>
      </tp>
      <tp>
        <v>1.7646999999999999</v>
        <stp/>
        <stp>##V3_BDHV12</stp>
        <stp>AMZN US Equity</stp>
        <stp>CUR_RATIO</stp>
        <stp>FQ3 2000</stp>
        <stp>FQ3 2000</stp>
        <stp>[FA1_j2ahgkxc.xlsx]Bal Sheet - Standardized!R68C9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8" s="3"/>
      </tp>
      <tp>
        <v>429</v>
        <stp/>
        <stp>##V3_BDHV12</stp>
        <stp>AMZN US Equity</stp>
        <stp>BS_SH_OUT</stp>
        <stp>FQ3 2008</stp>
        <stp>FQ3 2008</stp>
        <stp>[FA1_j2ahgkxc.xlsx]Per Share!R6C41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5"/>
      </tp>
      <tp>
        <v>426</v>
        <stp/>
        <stp>##V3_BDHV12</stp>
        <stp>AMZN US Equity</stp>
        <stp>BS_SH_OUT</stp>
        <stp>FQ2 2008</stp>
        <stp>FQ2 2008</stp>
        <stp>[FA1_j2ahgkxc.xlsx]Per Share!R6C40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5"/>
      </tp>
      <tp>
        <v>1.0189999999999999</v>
        <stp/>
        <stp>##V3_BDHV12</stp>
        <stp>AMZN US Equity</stp>
        <stp>CF_CASH_PAID_FOR_TAX</stp>
        <stp>FQ3 2003</stp>
        <stp>FQ3 2003</stp>
        <stp>[FA1_j2ahgkxc.xlsx]Cash Flow - Standardized!R41C21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1" s="4"/>
      </tp>
      <tp>
        <v>7</v>
        <stp/>
        <stp>##V3_BDHV12</stp>
        <stp>AMZN US Equity</stp>
        <stp>CF_CASH_PAID_FOR_TAX</stp>
        <stp>FQ2 2007</stp>
        <stp>FQ2 2007</stp>
        <stp>[FA1_j2ahgkxc.xlsx]Cash Flow - Standardized!R41C36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1" s="4"/>
      </tp>
      <tp>
        <v>1.651</v>
        <stp/>
        <stp>##V3_BDHV12</stp>
        <stp>AMZN US Equity</stp>
        <stp>CF_CASH_PAID_FOR_TAX</stp>
        <stp>FQ3 2004</stp>
        <stp>FQ3 2004</stp>
        <stp>[FA1_j2ahgkxc.xlsx]Cash Flow - Standardized!R41C25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1" s="4"/>
      </tp>
      <tp>
        <v>3</v>
        <stp/>
        <stp>##V3_BDHV12</stp>
        <stp>AMZN US Equity</stp>
        <stp>CF_CASH_PAID_FOR_TAX</stp>
        <stp>FQ2 2006</stp>
        <stp>FQ2 2006</stp>
        <stp>[FA1_j2ahgkxc.xlsx]Cash Flow - Standardized!R41C32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1" s="4"/>
      </tp>
      <tp>
        <v>0</v>
        <stp/>
        <stp>##V3_BDHV12</stp>
        <stp>AMZN US Equity</stp>
        <stp>XO_GL_NET_OF_TAX</stp>
        <stp>FQ3 2006</stp>
        <stp>FQ3 2006</stp>
        <stp>[FA1_j2ahgkxc.xlsx]Income - Adjusted!R32C33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2"/>
      </tp>
      <tp>
        <v>0</v>
        <stp/>
        <stp>##V3_BDHV12</stp>
        <stp>AMZN US Equity</stp>
        <stp>XO_GL_NET_OF_TAX</stp>
        <stp>FQ3 2006</stp>
        <stp>FQ3 2006</stp>
        <stp>[FA1_j2ahgkxc.xlsx]Income - Adjusted!R23C33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2"/>
      </tp>
      <tp>
        <v>0</v>
        <stp/>
        <stp>##V3_BDHV12</stp>
        <stp>AMZN US Equity</stp>
        <stp>XO_GL_NET_OF_TAX</stp>
        <stp>FQ2 2007</stp>
        <stp>FQ2 2007</stp>
        <stp>[FA1_j2ahgkxc.xlsx]Income - Adjusted!R32C36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2"/>
      </tp>
      <tp>
        <v>0</v>
        <stp/>
        <stp>##V3_BDHV12</stp>
        <stp>AMZN US Equity</stp>
        <stp>XO_GL_NET_OF_TAX</stp>
        <stp>FQ2 2007</stp>
        <stp>FQ2 2007</stp>
        <stp>[FA1_j2ahgkxc.xlsx]Income - Adjusted!R23C36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2"/>
      </tp>
      <tp>
        <v>-26</v>
        <stp/>
        <stp>##V3_BDHV12</stp>
        <stp>AMZN US Equity</stp>
        <stp>XO_GL_NET_OF_TAX</stp>
        <stp>FQ1 2005</stp>
        <stp>FQ1 2005</stp>
        <stp>[FA1_j2ahgkxc.xlsx]Income - Adjusted!R23C27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2"/>
      </tp>
      <tp>
        <v>6</v>
        <stp/>
        <stp>##V3_BDHV12</stp>
        <stp>AMZN US Equity</stp>
        <stp>CF_CASH_PAID_FOR_TAX</stp>
        <stp>FQ3 2005</stp>
        <stp>FQ3 2005</stp>
        <stp>[FA1_j2ahgkxc.xlsx]Cash Flow - Standardized!R41C29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1" s="4"/>
      </tp>
      <tp>
        <v>-26</v>
        <stp/>
        <stp>##V3_BDHV12</stp>
        <stp>AMZN US Equity</stp>
        <stp>XO_GL_NET_OF_TAX</stp>
        <stp>FQ1 2005</stp>
        <stp>FQ1 2005</stp>
        <stp>[FA1_j2ahgkxc.xlsx]Income - Adjusted!R32C27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2"/>
      </tp>
      <tp>
        <v>477.089</v>
        <stp/>
        <stp>##V3_BDHV12</stp>
        <stp>AMZN US Equity</stp>
        <stp>IS_COGS_TO_FE_AND_PP_AND_G</stp>
        <stp>FQ3 2001</stp>
        <stp>FQ3 2001</stp>
        <stp>[FA1_j2ahgkxc.xlsx]Income - Adjusted!R7C13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7" s="2"/>
      </tp>
      <tp>
        <v>487.90499999999997</v>
        <stp/>
        <stp>##V3_BDHV12</stp>
        <stp>AMZN US Equity</stp>
        <stp>IS_COGS_TO_FE_AND_PP_AND_G</stp>
        <stp>FQ2 2001</stp>
        <stp>FQ2 2001</stp>
        <stp>[FA1_j2ahgkxc.xlsx]Income - Adjusted!R7C12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7" s="2"/>
      </tp>
      <tp>
        <v>517.75900000000001</v>
        <stp/>
        <stp>##V3_BDHV12</stp>
        <stp>AMZN US Equity</stp>
        <stp>IS_COGS_TO_FE_AND_PP_AND_G</stp>
        <stp>FQ1 2001</stp>
        <stp>FQ1 2001</stp>
        <stp>[FA1_j2ahgkxc.xlsx]Income - Adjusted!R7C11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7" s="2"/>
      </tp>
      <tp>
        <v>841.12199999999996</v>
        <stp/>
        <stp>##V3_BDHV12</stp>
        <stp>AMZN US Equity</stp>
        <stp>IS_COGS_TO_FE_AND_PP_AND_G</stp>
        <stp>FQ4 2001</stp>
        <stp>FQ4 2001</stp>
        <stp>[FA1_j2ahgkxc.xlsx]Income - Adjusted!R7C14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7" s="2"/>
      </tp>
      <tp>
        <v>233.66800000000001</v>
        <stp/>
        <stp>##V3_BDHV12</stp>
        <stp>AMZN US Equity</stp>
        <stp>CF_CASH_FROM_INV_ACT</stp>
        <stp>FQ2 2003</stp>
        <stp>FQ2 2003</stp>
        <stp>[FA1_j2ahgkxc.xlsx]Cash Flow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4"/>
      </tp>
      <tp>
        <v>44.551000000000002</v>
        <stp/>
        <stp>##V3_BDHV12</stp>
        <stp>AMZN US Equity</stp>
        <stp>CF_CASH_FROM_INV_ACT</stp>
        <stp>FQ1 2001</stp>
        <stp>FQ1 2001</stp>
        <stp>[FA1_j2ahgkxc.xlsx]Cash Flow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4"/>
      </tp>
      <tp>
        <v>825.98400000000004</v>
        <stp/>
        <stp>##V3_BDHV12</stp>
        <stp>AMZN US Equity</stp>
        <stp>IS_COGS_TO_FE_AND_PP_AND_G</stp>
        <stp>FQ2 2003</stp>
        <stp>FQ2 2003</stp>
        <stp>[FA1_j2ahgkxc.xlsx]Income - Adjusted!R7C20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7" s="2"/>
      </tp>
      <tp>
        <v>848.63499999999999</v>
        <stp/>
        <stp>##V3_BDHV12</stp>
        <stp>AMZN US Equity</stp>
        <stp>IS_COGS_TO_FE_AND_PP_AND_G</stp>
        <stp>FQ3 2003</stp>
        <stp>FQ3 2003</stp>
        <stp>[FA1_j2ahgkxc.xlsx]Income - Adjusted!R7C21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7" s="2"/>
      </tp>
      <tp>
        <v>34</v>
        <stp/>
        <stp>##V3_BDHV12</stp>
        <stp>AMZN US Equity</stp>
        <stp>CF_CASH_FROM_INV_ACT</stp>
        <stp>FQ3 2007</stp>
        <stp>FQ3 2007</stp>
        <stp>[FA1_j2ahgkxc.xlsx]Cash Flow - Standardized!R28C37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4"/>
      </tp>
      <tp>
        <v>-222.28899999999999</v>
        <stp/>
        <stp>##V3_BDHV12</stp>
        <stp>AMZN US Equity</stp>
        <stp>CF_CASH_FROM_INV_ACT</stp>
        <stp>FQ2 2004</stp>
        <stp>FQ2 2004</stp>
        <stp>[FA1_j2ahgkxc.xlsx]Cash Flow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4"/>
      </tp>
      <tp>
        <v>2310</v>
        <stp/>
        <stp>##V3_BDHV12</stp>
        <stp>AMZN US Equity</stp>
        <stp>IS_COGS_TO_FE_AND_PP_AND_G</stp>
        <stp>FQ4 2005</stp>
        <stp>FQ4 2005</stp>
        <stp>[FA1_j2ahgkxc.xlsx]Income - Adjusted!R7C30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7" s="2"/>
      </tp>
      <tp>
        <v>132.06899999999999</v>
        <stp/>
        <stp>##V3_BDHV12</stp>
        <stp>AMZN US Equity</stp>
        <stp>OTHER_CURRENT_ASSETS_DETAILED</stp>
        <stp>FQ4 2003</stp>
        <stp>FQ4 2003</stp>
        <stp>[FA1_j2ahgkxc.xlsx]Bal Sheet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3"/>
      </tp>
      <tp>
        <v>-130</v>
        <stp/>
        <stp>##V3_BDHV12</stp>
        <stp>AMZN US Equity</stp>
        <stp>OTHER_INVESTING_ACT_DETAILED</stp>
        <stp>FQ3 2005</stp>
        <stp>FQ3 2005</stp>
        <stp>[FA1_j2ahgkxc.xlsx]Cash Flow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4"/>
      </tp>
      <tp>
        <v>147</v>
        <stp/>
        <stp>##V3_BDHV12</stp>
        <stp>AMZN US Equity</stp>
        <stp>CF_CASH_FROM_INV_ACT</stp>
        <stp>FQ3 2006</stp>
        <stp>FQ3 2006</stp>
        <stp>[FA1_j2ahgkxc.xlsx]Cash Flow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4"/>
      </tp>
      <tp>
        <v>81.388000000000005</v>
        <stp/>
        <stp>##V3_BDHV12</stp>
        <stp>AMZN US Equity</stp>
        <stp>OTHER_CURRENT_ASSETS_DETAILED</stp>
        <stp>FQ4 2004</stp>
        <stp>FQ4 2004</stp>
        <stp>[FA1_j2ahgkxc.xlsx]Bal Sheet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3"/>
      </tp>
      <tp>
        <v>-2.5060000000000002</v>
        <stp/>
        <stp>##V3_BDHV12</stp>
        <stp>AMZN US Equity</stp>
        <stp>CF_CASH_FROM_INV_ACT</stp>
        <stp>FQ1 2002</stp>
        <stp>FQ1 2002</stp>
        <stp>[FA1_j2ahgkxc.xlsx]Cash Flow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4"/>
      </tp>
      <tp>
        <v>-41</v>
        <stp/>
        <stp>##V3_BDHV12</stp>
        <stp>AMZN US Equity</stp>
        <stp>OTHER_INVESTING_ACT_DETAILED</stp>
        <stp>FQ2 2007</stp>
        <stp>FQ2 2007</stp>
        <stp>[FA1_j2ahgkxc.xlsx]Cash Flow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4"/>
      </tp>
      <tp>
        <v>-56.759</v>
        <stp/>
        <stp>##V3_BDHV12</stp>
        <stp>AMZN US Equity</stp>
        <stp>OTHER_INVESTING_ACT_DETAILED</stp>
        <stp>FQ3 2004</stp>
        <stp>FQ3 2004</stp>
        <stp>[FA1_j2ahgkxc.xlsx]Cash Flow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4"/>
      </tp>
      <tp>
        <v>-30.494</v>
        <stp/>
        <stp>##V3_BDHV12</stp>
        <stp>AMZN US Equity</stp>
        <stp>CF_CASH_FROM_INV_ACT</stp>
        <stp>FQ1 2003</stp>
        <stp>FQ1 2003</stp>
        <stp>[FA1_j2ahgkxc.xlsx]Cash Flow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4"/>
      </tp>
      <tp>
        <v>-44.82</v>
        <stp/>
        <stp>##V3_BDHV12</stp>
        <stp>AMZN US Equity</stp>
        <stp>OTHER_INVESTING_ACT_DETAILED</stp>
        <stp>FQ3 2003</stp>
        <stp>FQ3 2003</stp>
        <stp>[FA1_j2ahgkxc.xlsx]Cash Flow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4"/>
      </tp>
      <tp>
        <v>163</v>
        <stp/>
        <stp>##V3_BDHV12</stp>
        <stp>AMZN US Equity</stp>
        <stp>OTHER_CURRENT_ASSETS_DETAILED</stp>
        <stp>FQ2 2008</stp>
        <stp>FQ2 2008</stp>
        <stp>[FA1_j2ahgkxc.xlsx]Bal Sheet - Standardized!R17C40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3"/>
      </tp>
      <tp>
        <v>588.19600000000003</v>
        <stp/>
        <stp>##V3_BDHV12</stp>
        <stp>AMZN US Equity</stp>
        <stp>IS_COGS_TO_FE_AND_PP_AND_G</stp>
        <stp>FQ4 1999</stp>
        <stp>FQ4 1999</stp>
        <stp>[FA1_j2ahgkxc.xlsx]Income - Adjusted!R7C7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>
        <v>17</v>
        <stp/>
        <stp>##V3_BDHV12</stp>
        <stp>AMZN US Equity</stp>
        <stp>OTHER_INVESTING_ACT_DETAILED</stp>
        <stp>FQ2 2006</stp>
        <stp>FQ2 2006</stp>
        <stp>[FA1_j2ahgkxc.xlsx]Cash Flow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4"/>
      </tp>
      <tp>
        <v>-144</v>
        <stp/>
        <stp>##V3_BDHV12</stp>
        <stp>AMZN US Equity</stp>
        <stp>CF_CASH_FROM_INV_ACT</stp>
        <stp>FQ2 2005</stp>
        <stp>FQ2 2005</stp>
        <stp>[FA1_j2ahgkxc.xlsx]Cash Flow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4"/>
      </tp>
      <tp>
        <v>-365</v>
        <stp/>
        <stp>##V3_BDHV12</stp>
        <stp>AMZN US Equity</stp>
        <stp>CF_CASH_FROM_INV_ACT</stp>
        <stp>FQ4 2008</stp>
        <stp>FQ4 2008</stp>
        <stp>[FA1_j2ahgkxc.xlsx]Cash Flow - Standardized!R28C42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4"/>
      </tp>
      <tp>
        <v>-165.33</v>
        <stp/>
        <stp>##V3_BDHV12</stp>
        <stp>AMZN US Equity</stp>
        <stp>EBIT</stp>
        <stp>FQ3 1999</stp>
        <stp>FQ3 1999</stp>
        <stp>[FA1_j2ahgkxc.xlsx]Income - Adjusted!R49C6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9" s="2"/>
      </tp>
      <tp>
        <v>-51.579000000000001</v>
        <stp/>
        <stp>##V3_BDHV12</stp>
        <stp>AMZN US Equity</stp>
        <stp>EBIT</stp>
        <stp>FQ1 1999</stp>
        <stp>FQ1 1999</stp>
        <stp>[FA1_j2ahgkxc.xlsx]Income - Adjusted!R49C4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9" s="2"/>
      </tp>
      <tp>
        <v>22.327300000000001</v>
        <stp/>
        <stp>##V3_BDHV12</stp>
        <stp>AMZN US Equity</stp>
        <stp>GROSS_MARGIN</stp>
        <stp>FQ1 2000</stp>
        <stp>FQ1 2000</stp>
        <stp>[FA1_j2ahgkxc.xlsx]Income - Adjusted!R50C8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0" s="2"/>
      </tp>
      <tp>
        <v>26.225100000000001</v>
        <stp/>
        <stp>##V3_BDHV12</stp>
        <stp>AMZN US Equity</stp>
        <stp>GROSS_MARGIN</stp>
        <stp>FQ3 2000</stp>
        <stp>FQ3 2000</stp>
        <stp>[FA1_j2ahgkxc.xlsx]Income - Adjusted!R50C9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0" s="2"/>
      </tp>
      <tp>
        <v>425.92099999999999</v>
        <stp/>
        <stp>##V3_BDHV12</stp>
        <stp>AMZN US Equity</stp>
        <stp>EQY_SH_OUT</stp>
        <stp>FQ3 2008</stp>
        <stp>FQ3 2008</stp>
        <stp>[FA1_j2ahgkxc.xlsx]Stock Value!R13C41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3" s="6"/>
      </tp>
      <tp>
        <v>417.68</v>
        <stp/>
        <stp>##V3_BDHV12</stp>
        <stp>AMZN US Equity</stp>
        <stp>EQY_SH_OUT</stp>
        <stp>FQ2 2008</stp>
        <stp>FQ2 2008</stp>
        <stp>[FA1_j2ahgkxc.xlsx]Stock Value!R13C40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3" s="6"/>
      </tp>
      <tp>
        <v>404.33100000000002</v>
        <stp/>
        <stp>##V3_BDHV12</stp>
        <stp>AMZN US Equity</stp>
        <stp>EQY_SH_OUT</stp>
        <stp>FQ1 2004</stp>
        <stp>FQ1 2004</stp>
        <stp>[FA1_j2ahgkxc.xlsx]Stock Value!R13C23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3" s="6"/>
      </tp>
      <tp>
        <v>391.71899999999999</v>
        <stp/>
        <stp>##V3_BDHV12</stp>
        <stp>AMZN US Equity</stp>
        <stp>EQY_SH_OUT</stp>
        <stp>FQ2 2003</stp>
        <stp>FQ2 2003</stp>
        <stp>[FA1_j2ahgkxc.xlsx]Stock Value!R13C20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3" s="6"/>
      </tp>
      <tp>
        <v>408.05200000000002</v>
        <stp/>
        <stp>##V3_BDHV12</stp>
        <stp>AMZN US Equity</stp>
        <stp>EQY_SH_OUT</stp>
        <stp>FQ4 2004</stp>
        <stp>FQ4 2004</stp>
        <stp>[FA1_j2ahgkxc.xlsx]Stock Value!R13C26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3" s="6"/>
      </tp>
      <tp>
        <v>396.988</v>
        <stp/>
        <stp>##V3_BDHV12</stp>
        <stp>AMZN US Equity</stp>
        <stp>EQY_SH_OUT</stp>
        <stp>FQ3 2003</stp>
        <stp>FQ3 2003</stp>
        <stp>[FA1_j2ahgkxc.xlsx]Stock Value!R13C21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3" s="6"/>
      </tp>
      <tp>
        <v>1.2054</v>
        <stp/>
        <stp>##V3_BDHV12</stp>
        <stp>AMZN US Equity</stp>
        <stp>EBITDA_MARGIN</stp>
        <stp>FQ4 2001</stp>
        <stp>FQ4 2001</stp>
        <stp>[FA1_j2ahgkxc.xlsx]Cash Flow - Standardized!R46C14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46" s="4"/>
      </tp>
      <tp>
        <v>-4.8887</v>
        <stp/>
        <stp>##V3_BDHV12</stp>
        <stp>AMZN US Equity</stp>
        <stp>EBITDA_MARGIN</stp>
        <stp>FQ2 2001</stp>
        <stp>FQ2 2001</stp>
        <stp>[FA1_j2ahgkxc.xlsx]Cash Flow - Standardized!R46C12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46" s="4"/>
      </tp>
      <tp>
        <v>-3.5145999999999997</v>
        <stp/>
        <stp>##V3_BDHV12</stp>
        <stp>AMZN US Equity</stp>
        <stp>EBITDA_MARGIN</stp>
        <stp>FQ3 2001</stp>
        <stp>FQ3 2001</stp>
        <stp>[FA1_j2ahgkxc.xlsx]Cash Flow - Standardized!R46C13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46" s="4"/>
      </tp>
      <tp>
        <v>-7.3693999999999997</v>
        <stp/>
        <stp>##V3_BDHV12</stp>
        <stp>AMZN US Equity</stp>
        <stp>EBITDA_MARGIN</stp>
        <stp>FQ1 2001</stp>
        <stp>FQ1 2001</stp>
        <stp>[FA1_j2ahgkxc.xlsx]Cash Flow - Standardized!R46C11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46" s="4"/>
      </tp>
      <tp>
        <v>114.107</v>
        <stp/>
        <stp>##V3_BDHV12</stp>
        <stp>AMZN US Equity</stp>
        <stp>PRETAX_INC</stp>
        <stp>FQ4 2004</stp>
        <stp>FQ4 2004</stp>
        <stp>[FA1_j2ahgkxc.xlsx]Income - Adjusted!R17C26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7" s="2"/>
      </tp>
      <tp>
        <v>189</v>
        <stp/>
        <stp>##V3_BDHV12</stp>
        <stp>AMZN US Equity</stp>
        <stp>PRETAX_INC</stp>
        <stp>FQ4 2006</stp>
        <stp>FQ4 2006</stp>
        <stp>[FA1_j2ahgkxc.xlsx]Income - Adjusted!R17C34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7" s="2"/>
      </tp>
      <tp>
        <v>108</v>
        <stp/>
        <stp>##V3_BDHV12</stp>
        <stp>AMZN US Equity</stp>
        <stp>PRETAX_INC</stp>
        <stp>FQ1 2005</stp>
        <stp>FQ1 2005</stp>
        <stp>[FA1_j2ahgkxc.xlsx]Income - Adjusted!R17C27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7" s="2"/>
      </tp>
      <tp>
        <v>144</v>
        <stp/>
        <stp>##V3_BDHV12</stp>
        <stp>AMZN US Equity</stp>
        <stp>PRETAX_INC</stp>
        <stp>FQ1 2007</stp>
        <stp>FQ1 2007</stp>
        <stp>[FA1_j2ahgkxc.xlsx]Income - Adjusted!R17C35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7" s="2"/>
      </tp>
      <tp>
        <v>15.563000000000001</v>
        <stp/>
        <stp>##V3_BDHV12</stp>
        <stp>AMZN US Equity</stp>
        <stp>PRETAX_INC</stp>
        <stp>FQ3 2003</stp>
        <stp>FQ3 2003</stp>
        <stp>[FA1_j2ahgkxc.xlsx]Income - Adjusted!R17C21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7" s="2"/>
      </tp>
      <tp>
        <v>-169.874</v>
        <stp/>
        <stp>##V3_BDHV12</stp>
        <stp>AMZN US Equity</stp>
        <stp>PRETAX_INC</stp>
        <stp>FQ3 2001</stp>
        <stp>FQ3 2001</stp>
        <stp>[FA1_j2ahgkxc.xlsx]Income - Adjusted!R17C13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7" s="2"/>
      </tp>
      <tp>
        <v>-905.04989999999998</v>
        <stp/>
        <stp>##V3_BDHV12</stp>
        <stp>AMZN US Equity</stp>
        <stp>EQTY_BEF_MINORITY_INT_DETAILED</stp>
        <stp>FQ1 2004</stp>
        <stp>FQ1 2004</stp>
        <stp>[FA1_j2ahgkxc.xlsx]Bal Sheet - Standardized!R52C23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2" s="3"/>
      </tp>
      <tp>
        <v>-1443.9110000000001</v>
        <stp/>
        <stp>##V3_BDHV12</stp>
        <stp>AMZN US Equity</stp>
        <stp>EQTY_BEF_MINORITY_INT_DETAILED</stp>
        <stp>FQ2 2002</stp>
        <stp>FQ2 2002</stp>
        <stp>[FA1_j2ahgkxc.xlsx]Bal Sheet - Standardized!R52C16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2" s="3"/>
      </tp>
      <tp>
        <v>-1429.931</v>
        <stp/>
        <stp>##V3_BDHV12</stp>
        <stp>AMZN US Equity</stp>
        <stp>EQTY_BEF_MINORITY_INT_DETAILED</stp>
        <stp>FQ2 2001</stp>
        <stp>FQ2 2001</stp>
        <stp>[FA1_j2ahgkxc.xlsx]Bal Sheet - Standardized!R52C12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2" s="3"/>
      </tp>
      <tp>
        <v>-162</v>
        <stp/>
        <stp>##V3_BDHV12</stp>
        <stp>AMZN US Equity</stp>
        <stp>EQTY_BEF_MINORITY_INT_DETAILED</stp>
        <stp>FQ1 2005</stp>
        <stp>FQ1 2005</stp>
        <stp>[FA1_j2ahgkxc.xlsx]Bal Sheet - Standardized!R52C27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2" s="3"/>
      </tp>
      <tp>
        <v>431</v>
        <stp/>
        <stp>##V3_BDHV12</stp>
        <stp>AMZN US Equity</stp>
        <stp>BS_SH_OUT</stp>
        <stp>FQ4 2007</stp>
        <stp>FQ4 2007</stp>
        <stp>[FA1_j2ahgkxc.xlsx]Per Share!R6C38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5"/>
      </tp>
      <tp>
        <v>391.60899999999998</v>
        <stp/>
        <stp>##V3_BDHV12</stp>
        <stp>AMZN US Equity</stp>
        <stp>BS_SH_OUT</stp>
        <stp>FQ1 2003</stp>
        <stp>FQ1 2003</stp>
        <stp>[FA1_j2ahgkxc.xlsx]Per Share!R6C19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5"/>
      </tp>
      <tp>
        <v>305.31200000000001</v>
        <stp/>
        <stp>##V3_BDHV12</stp>
        <stp>AMZN US Equity</stp>
        <stp>EQY_FLOAT</stp>
        <stp>FQ1 2005</stp>
        <stp>FQ1 2005</stp>
        <stp>[FA1_j2ahgkxc.xlsx]Stock Value!R14C27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4" s="6"/>
      </tp>
      <tp>
        <v>291.97699999999998</v>
        <stp/>
        <stp>##V3_BDHV12</stp>
        <stp>AMZN US Equity</stp>
        <stp>EQY_FLOAT</stp>
        <stp>FQ4 2003</stp>
        <stp>FQ4 2003</stp>
        <stp>[FA1_j2ahgkxc.xlsx]Stock Value!R14C22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4" s="6"/>
      </tp>
      <tp>
        <v>300.73</v>
        <stp/>
        <stp>##V3_BDHV12</stp>
        <stp>AMZN US Equity</stp>
        <stp>EQY_FLOAT</stp>
        <stp>FQ3 2004</stp>
        <stp>FQ3 2004</stp>
        <stp>[FA1_j2ahgkxc.xlsx]Stock Value!R14C25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4" s="6"/>
      </tp>
      <tp>
        <v>297.96199999999999</v>
        <stp/>
        <stp>##V3_BDHV12</stp>
        <stp>AMZN US Equity</stp>
        <stp>EQY_FLOAT</stp>
        <stp>FQ2 2004</stp>
        <stp>FQ2 2004</stp>
        <stp>[FA1_j2ahgkxc.xlsx]Stock Value!R14C24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4" s="6"/>
      </tp>
      <tp>
        <v>328.06200000000001</v>
        <stp/>
        <stp>##V3_BDHV12</stp>
        <stp>AMZN US Equity</stp>
        <stp>EQY_FLOAT</stp>
        <stp>FQ4 2008</stp>
        <stp>FQ4 2008</stp>
        <stp>[FA1_j2ahgkxc.xlsx]Stock Value!R14C42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4" s="6"/>
      </tp>
      <tp>
        <v>0.307</v>
        <stp/>
        <stp>##V3_BDHV12</stp>
        <stp>AMZN US Equity</stp>
        <stp>CF_CASH_PAID_FOR_TAX</stp>
        <stp>FQ2 2003</stp>
        <stp>FQ2 2003</stp>
        <stp>[FA1_j2ahgkxc.xlsx]Cash Flow - Standardized!R41C20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1" s="4"/>
      </tp>
      <tp>
        <v>0</v>
        <stp/>
        <stp>##V3_BDHV12</stp>
        <stp>AMZN US Equity</stp>
        <stp>CF_CASH_PAID_FOR_TAX</stp>
        <stp>FQ1 2001</stp>
        <stp>FQ1 2001</stp>
        <stp>[FA1_j2ahgkxc.xlsx]Cash Flow - Standardized!R41C11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1" s="4"/>
      </tp>
      <tp>
        <v>4</v>
        <stp/>
        <stp>##V3_BDHV12</stp>
        <stp>AMZN US Equity</stp>
        <stp>CF_CASH_PAID_FOR_TAX</stp>
        <stp>FQ3 2007</stp>
        <stp>FQ3 2007</stp>
        <stp>[FA1_j2ahgkxc.xlsx]Cash Flow - Standardized!R41C37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1" s="4"/>
      </tp>
      <tp>
        <v>0.56100000000000005</v>
        <stp/>
        <stp>##V3_BDHV12</stp>
        <stp>AMZN US Equity</stp>
        <stp>CF_CASH_PAID_FOR_TAX</stp>
        <stp>FQ2 2004</stp>
        <stp>FQ2 2004</stp>
        <stp>[FA1_j2ahgkxc.xlsx]Cash Flow - Standardized!R41C24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1" s="4"/>
      </tp>
      <tp>
        <v>0</v>
        <stp/>
        <stp>##V3_BDHV12</stp>
        <stp>AMZN US Equity</stp>
        <stp>XO_GL_NET_OF_TAX</stp>
        <stp>FQ4 2002</stp>
        <stp>FQ4 2002</stp>
        <stp>[FA1_j2ahgkxc.xlsx]Income - Adjusted!R23C18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2"/>
      </tp>
      <tp>
        <v>0</v>
        <stp/>
        <stp>##V3_BDHV12</stp>
        <stp>AMZN US Equity</stp>
        <stp>XO_GL_NET_OF_TAX</stp>
        <stp>FQ4 2002</stp>
        <stp>FQ4 2002</stp>
        <stp>[FA1_j2ahgkxc.xlsx]Income - Adjusted!R32C18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2"/>
      </tp>
      <tp>
        <v>5</v>
        <stp/>
        <stp>##V3_BDHV12</stp>
        <stp>AMZN US Equity</stp>
        <stp>CF_CASH_PAID_FOR_TAX</stp>
        <stp>FQ3 2006</stp>
        <stp>FQ3 2006</stp>
        <stp>[FA1_j2ahgkxc.xlsx]Cash Flow - Standardized!R41C33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1" s="4"/>
      </tp>
      <tp>
        <v>0</v>
        <stp/>
        <stp>##V3_BDHV12</stp>
        <stp>AMZN US Equity</stp>
        <stp>CF_CASH_PAID_FOR_TAX</stp>
        <stp>FQ1 2002</stp>
        <stp>FQ1 2002</stp>
        <stp>[FA1_j2ahgkxc.xlsx]Cash Flow - Standardized!R41C15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1" s="4"/>
      </tp>
      <tp>
        <v>0</v>
        <stp/>
        <stp>##V3_BDHV12</stp>
        <stp>AMZN US Equity</stp>
        <stp>XO_GL_NET_OF_TAX</stp>
        <stp>FQ2 2006</stp>
        <stp>FQ2 2006</stp>
        <stp>[FA1_j2ahgkxc.xlsx]Income - Adjusted!R23C32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2"/>
      </tp>
      <tp>
        <v>1466.338</v>
        <stp/>
        <stp>##V3_BDHV12</stp>
        <stp>AMZN US Equity</stp>
        <stp>BS_LT_BORROW</stp>
        <stp>FQ4 1999</stp>
        <stp>FQ4 1999</stp>
        <stp>[FA1_j2ahgkxc.xlsx]Bal Sheet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3"/>
      </tp>
      <tp>
        <v>0</v>
        <stp/>
        <stp>##V3_BDHV12</stp>
        <stp>AMZN US Equity</stp>
        <stp>XO_GL_NET_OF_TAX</stp>
        <stp>FQ2 2006</stp>
        <stp>FQ2 2006</stp>
        <stp>[FA1_j2ahgkxc.xlsx]Income - Adjusted!R32C32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2"/>
      </tp>
      <tp>
        <v>0</v>
        <stp/>
        <stp>##V3_BDHV12</stp>
        <stp>AMZN US Equity</stp>
        <stp>XO_GL_NET_OF_TAX</stp>
        <stp>FQ1 2004</stp>
        <stp>FQ1 2004</stp>
        <stp>[FA1_j2ahgkxc.xlsx]Income - Adjusted!R32C23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2"/>
      </tp>
      <tp>
        <v>0.30199999999999999</v>
        <stp/>
        <stp>##V3_BDHV12</stp>
        <stp>AMZN US Equity</stp>
        <stp>CF_CASH_PAID_FOR_TAX</stp>
        <stp>FQ1 2003</stp>
        <stp>FQ1 2003</stp>
        <stp>[FA1_j2ahgkxc.xlsx]Cash Flow - Standardized!R41C19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1" s="4"/>
      </tp>
      <tp>
        <v>0</v>
        <stp/>
        <stp>##V3_BDHV12</stp>
        <stp>AMZN US Equity</stp>
        <stp>XO_GL_NET_OF_TAX</stp>
        <stp>FQ1 2004</stp>
        <stp>FQ1 2004</stp>
        <stp>[FA1_j2ahgkxc.xlsx]Income - Adjusted!R23C23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2"/>
      </tp>
      <tp>
        <v>0</v>
        <stp/>
        <stp>##V3_BDHV12</stp>
        <stp>AMZN US Equity</stp>
        <stp>XO_GL_NET_OF_TAX</stp>
        <stp>FQ3 2007</stp>
        <stp>FQ3 2007</stp>
        <stp>[FA1_j2ahgkxc.xlsx]Income - Adjusted!R23C37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2"/>
      </tp>
      <tp>
        <v>1449.2239999999999</v>
        <stp/>
        <stp>##V3_BDHV12</stp>
        <stp>AMZN US Equity</stp>
        <stp>BS_LT_BORROW</stp>
        <stp>FQ2 1999</stp>
        <stp>FQ2 1999</stp>
        <stp>[FA1_j2ahgkxc.xlsx]Bal Sheet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3"/>
      </tp>
      <tp>
        <v>348.14</v>
        <stp/>
        <stp>##V3_BDHV12</stp>
        <stp>AMZN US Equity</stp>
        <stp>BS_LT_BORROW</stp>
        <stp>FQ4 1998</stp>
        <stp>FQ4 1998</stp>
        <stp>[FA1_j2ahgkxc.xlsx]Bal Sheet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0</v>
        <stp/>
        <stp>##V3_BDHV12</stp>
        <stp>AMZN US Equity</stp>
        <stp>XO_GL_NET_OF_TAX</stp>
        <stp>FQ3 2007</stp>
        <stp>FQ3 2007</stp>
        <stp>[FA1_j2ahgkxc.xlsx]Income - Adjusted!R32C37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2"/>
      </tp>
      <tp>
        <v>1</v>
        <stp/>
        <stp>##V3_BDHV12</stp>
        <stp>AMZN US Equity</stp>
        <stp>CF_CASH_PAID_FOR_TAX</stp>
        <stp>FQ2 2005</stp>
        <stp>FQ2 2005</stp>
        <stp>[FA1_j2ahgkxc.xlsx]Cash Flow - Standardized!R41C28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1" s="4"/>
      </tp>
      <tp>
        <v>1533.8621000000001</v>
        <stp/>
        <stp>##V3_BDHV12</stp>
        <stp>AMZN US Equity</stp>
        <stp>BS_LT_BORROW</stp>
        <stp>FQ1 1999</stp>
        <stp>FQ1 1999</stp>
        <stp>[FA1_j2ahgkxc.xlsx]Bal Sheet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3"/>
      </tp>
      <tp>
        <v>1462.203</v>
        <stp/>
        <stp>##V3_BDHV12</stp>
        <stp>AMZN US Equity</stp>
        <stp>BS_LT_BORROW</stp>
        <stp>FQ3 1999</stp>
        <stp>FQ3 1999</stp>
        <stp>[FA1_j2ahgkxc.xlsx]Bal Sheet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3"/>
      </tp>
      <tp>
        <v>25</v>
        <stp/>
        <stp>##V3_BDHV12</stp>
        <stp>AMZN US Equity</stp>
        <stp>CF_CASH_PAID_FOR_TAX</stp>
        <stp>FQ4 2008</stp>
        <stp>FQ4 2008</stp>
        <stp>[FA1_j2ahgkxc.xlsx]Cash Flow - Standardized!R41C42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1" s="4"/>
      </tp>
      <tp>
        <v>12.776</v>
        <stp/>
        <stp>##V3_BDHV12</stp>
        <stp>AMZN US Equity</stp>
        <stp>BS_ST_BORROW</stp>
        <stp>FQ3 1999</stp>
        <stp>FQ3 1999</stp>
        <stp>[FA1_j2ahgkxc.xlsx]Bal Sheet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3"/>
      </tp>
      <tp>
        <v>7.1859999999999999</v>
        <stp/>
        <stp>##V3_BDHV12</stp>
        <stp>AMZN US Equity</stp>
        <stp>BS_ST_BORROW</stp>
        <stp>FQ1 1999</stp>
        <stp>FQ1 1999</stp>
        <stp>[FA1_j2ahgkxc.xlsx]Bal Sheet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3"/>
      </tp>
      <tp>
        <v>89</v>
        <stp/>
        <stp>##V3_BDHV12</stp>
        <stp>AMZN US Equity</stp>
        <stp>OTHER_CURRENT_ASSETS_DETAILED</stp>
        <stp>FQ4 2005</stp>
        <stp>FQ4 2005</stp>
        <stp>[FA1_j2ahgkxc.xlsx]Bal Sheet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3"/>
      </tp>
      <tp>
        <v>-60.012</v>
        <stp/>
        <stp>##V3_BDHV12</stp>
        <stp>AMZN US Equity</stp>
        <stp>CF_CASH_FROM_INV_ACT</stp>
        <stp>FQ3 2003</stp>
        <stp>FQ3 2003</stp>
        <stp>[FA1_j2ahgkxc.xlsx]Cash Flow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4"/>
      </tp>
      <tp>
        <v>-24.1</v>
        <stp/>
        <stp>##V3_BDHV12</stp>
        <stp>AMZN US Equity</stp>
        <stp>OTHER_INVESTING_ACT_DETAILED</stp>
        <stp>FQ1 2003</stp>
        <stp>FQ1 2003</stp>
        <stp>[FA1_j2ahgkxc.xlsx]Cash Flow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4"/>
      </tp>
      <tp>
        <v>0.68400000000000005</v>
        <stp/>
        <stp>##V3_BDHV12</stp>
        <stp>AMZN US Equity</stp>
        <stp>BS_ST_BORROW</stp>
        <stp>FQ4 1998</stp>
        <stp>FQ4 1998</stp>
        <stp>[FA1_j2ahgkxc.xlsx]Bal Sheet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9.8729999999999993</v>
        <stp/>
        <stp>##V3_BDHV12</stp>
        <stp>AMZN US Equity</stp>
        <stp>BS_ST_BORROW</stp>
        <stp>FQ2 1999</stp>
        <stp>FQ2 1999</stp>
        <stp>[FA1_j2ahgkxc.xlsx]Bal Sheet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3"/>
      </tp>
      <tp>
        <v>-88</v>
        <stp/>
        <stp>##V3_BDHV12</stp>
        <stp>AMZN US Equity</stp>
        <stp>CF_CASH_FROM_INV_ACT</stp>
        <stp>FQ2 2007</stp>
        <stp>FQ2 2007</stp>
        <stp>[FA1_j2ahgkxc.xlsx]Cash Flow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4"/>
      </tp>
      <tp>
        <v>-85.480999999999995</v>
        <stp/>
        <stp>##V3_BDHV12</stp>
        <stp>AMZN US Equity</stp>
        <stp>CF_CASH_FROM_INV_ACT</stp>
        <stp>FQ3 2004</stp>
        <stp>FQ3 2004</stp>
        <stp>[FA1_j2ahgkxc.xlsx]Cash Flow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4"/>
      </tp>
      <tp>
        <v>-98</v>
        <stp/>
        <stp>##V3_BDHV12</stp>
        <stp>AMZN US Equity</stp>
        <stp>OTHER_INVESTING_ACT_DETAILED</stp>
        <stp>FQ2 2005</stp>
        <stp>FQ2 2005</stp>
        <stp>[FA1_j2ahgkxc.xlsx]Cash Flow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4"/>
      </tp>
      <tp>
        <v>-264</v>
        <stp/>
        <stp>##V3_BDHV12</stp>
        <stp>AMZN US Equity</stp>
        <stp>OTHER_INVESTING_ACT_DETAILED</stp>
        <stp>FQ4 2008</stp>
        <stp>FQ4 2008</stp>
        <stp>[FA1_j2ahgkxc.xlsx]Cash Flow - Standardized!R27C42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4"/>
      </tp>
      <tp>
        <v>14.321999999999999</v>
        <stp/>
        <stp>##V3_BDHV12</stp>
        <stp>AMZN US Equity</stp>
        <stp>BS_ST_BORROW</stp>
        <stp>FQ4 1999</stp>
        <stp>FQ4 1999</stp>
        <stp>[FA1_j2ahgkxc.xlsx]Bal Sheet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3"/>
      </tp>
      <tp>
        <v>-41</v>
        <stp/>
        <stp>##V3_BDHV12</stp>
        <stp>AMZN US Equity</stp>
        <stp>CF_CASH_FROM_INV_ACT</stp>
        <stp>FQ2 2006</stp>
        <stp>FQ2 2006</stp>
        <stp>[FA1_j2ahgkxc.xlsx]Cash Flow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4"/>
      </tp>
      <tp>
        <v>78</v>
        <stp/>
        <stp>##V3_BDHV12</stp>
        <stp>AMZN US Equity</stp>
        <stp>OTHER_CURRENT_ASSETS_DETAILED</stp>
        <stp>FQ4 2006</stp>
        <stp>FQ4 2006</stp>
        <stp>[FA1_j2ahgkxc.xlsx]Bal Sheet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3"/>
      </tp>
      <tp>
        <v>103</v>
        <stp/>
        <stp>##V3_BDHV12</stp>
        <stp>AMZN US Equity</stp>
        <stp>OTHER_INVESTING_ACT_DETAILED</stp>
        <stp>FQ3 2007</stp>
        <stp>FQ3 2007</stp>
        <stp>[FA1_j2ahgkxc.xlsx]Cash Flow - Standardized!R27C37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4"/>
      </tp>
      <tp>
        <v>3179</v>
        <stp/>
        <stp>##V3_BDHV12</stp>
        <stp>AMZN US Equity</stp>
        <stp>IS_COGS_TO_FE_AND_PP_AND_G</stp>
        <stp>FQ1 2008</stp>
        <stp>FQ1 2008</stp>
        <stp>[FA1_j2ahgkxc.xlsx]Income - Adjusted!R7C39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7" s="2"/>
      </tp>
      <tp>
        <v>-208.14599999999999</v>
        <stp/>
        <stp>##V3_BDHV12</stp>
        <stp>AMZN US Equity</stp>
        <stp>OTHER_INVESTING_ACT_DETAILED</stp>
        <stp>FQ2 2004</stp>
        <stp>FQ2 2004</stp>
        <stp>[FA1_j2ahgkxc.xlsx]Cash Flow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4"/>
      </tp>
      <tp>
        <v>147</v>
        <stp/>
        <stp>##V3_BDHV12</stp>
        <stp>AMZN US Equity</stp>
        <stp>OTHER_CURRENT_ASSETS_DETAILED</stp>
        <stp>FQ4 2007</stp>
        <stp>FQ4 2007</stp>
        <stp>[FA1_j2ahgkxc.xlsx]Bal Sheet - Standardized!R17C38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3"/>
      </tp>
      <tp>
        <v>0</v>
        <stp/>
        <stp>##V3_BDHV12</stp>
        <stp>AMZN US Equity</stp>
        <stp>OTHER_INVESTING_ACT_DETAILED</stp>
        <stp>FQ1 2001</stp>
        <stp>FQ1 2001</stp>
        <stp>[FA1_j2ahgkxc.xlsx]Cash Flow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4"/>
      </tp>
      <tp>
        <v>240.809</v>
        <stp/>
        <stp>##V3_BDHV12</stp>
        <stp>AMZN US Equity</stp>
        <stp>OTHER_INVESTING_ACT_DETAILED</stp>
        <stp>FQ2 2003</stp>
        <stp>FQ2 2003</stp>
        <stp>[FA1_j2ahgkxc.xlsx]Cash Flow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4"/>
      </tp>
      <tp>
        <v>194</v>
        <stp/>
        <stp>##V3_BDHV12</stp>
        <stp>AMZN US Equity</stp>
        <stp>OTHER_CURRENT_ASSETS_DETAILED</stp>
        <stp>FQ3 2008</stp>
        <stp>FQ3 2008</stp>
        <stp>[FA1_j2ahgkxc.xlsx]Bal Sheet - Standardized!R17C41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3"/>
      </tp>
      <tp>
        <v>209</v>
        <stp/>
        <stp>##V3_BDHV12</stp>
        <stp>AMZN US Equity</stp>
        <stp>OTHER_INVESTING_ACT_DETAILED</stp>
        <stp>FQ3 2006</stp>
        <stp>FQ3 2006</stp>
        <stp>[FA1_j2ahgkxc.xlsx]Cash Flow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4"/>
      </tp>
      <tp>
        <v>0</v>
        <stp/>
        <stp>##V3_BDHV12</stp>
        <stp>AMZN US Equity</stp>
        <stp>OTHER_INVESTING_ACT_DETAILED</stp>
        <stp>FQ1 2002</stp>
        <stp>FQ1 2002</stp>
        <stp>[FA1_j2ahgkxc.xlsx]Cash Flow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4"/>
      </tp>
      <tp>
        <v>-206</v>
        <stp/>
        <stp>##V3_BDHV12</stp>
        <stp>AMZN US Equity</stp>
        <stp>CF_CASH_FROM_INV_ACT</stp>
        <stp>FQ3 2005</stp>
        <stp>FQ3 2005</stp>
        <stp>[FA1_j2ahgkxc.xlsx]Cash Flow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4"/>
      </tp>
      <tp t="s">
        <v>—</v>
        <stp/>
        <stp>##V3_BDHV12</stp>
        <stp>AMZN US Equity</stp>
        <stp>IS_CAP_INT_EXP</stp>
        <stp>FQ1 2008</stp>
        <stp>FQ1 2008</stp>
        <stp>[FA1_j2ahgkxc.xlsx]Income - Adjusted!R56C39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6" s="2"/>
      </tp>
      <tp>
        <v>7</v>
        <stp/>
        <stp>##V3_BDHV12</stp>
        <stp>AMZN US Equity</stp>
        <stp>CF_DEF_INC_TAX</stp>
        <stp>FQ3 2006</stp>
        <stp>FQ3 2006</stp>
        <stp>[FA1_j2ahgkxc.xlsx]Cash Flow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4"/>
      </tp>
      <tp t="s">
        <v>—</v>
        <stp/>
        <stp>##V3_BDHV12</stp>
        <stp>AMZN US Equity</stp>
        <stp>CF_DEF_INC_TAX</stp>
        <stp>FQ1 2002</stp>
        <stp>FQ1 2002</stp>
        <stp>[FA1_j2ahgkxc.xlsx]Cash Flow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4"/>
      </tp>
      <tp t="s">
        <v>—</v>
        <stp/>
        <stp>##V3_BDHV12</stp>
        <stp>AMZN US Equity</stp>
        <stp>CF_DEF_INC_TAX</stp>
        <stp>FQ1 2001</stp>
        <stp>FQ1 2001</stp>
        <stp>[FA1_j2ahgkxc.xlsx]Cash Flow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4"/>
      </tp>
      <tp t="s">
        <v>—</v>
        <stp/>
        <stp>##V3_BDHV12</stp>
        <stp>AMZN US Equity</stp>
        <stp>CF_DEF_INC_TAX</stp>
        <stp>FQ2 2003</stp>
        <stp>FQ2 2003</stp>
        <stp>[FA1_j2ahgkxc.xlsx]Cash Flow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4"/>
      </tp>
      <tp t="s">
        <v>—</v>
        <stp/>
        <stp>##V3_BDHV12</stp>
        <stp>AMZN US Equity</stp>
        <stp>CF_DEF_INC_TAX</stp>
        <stp>FQ2 2004</stp>
        <stp>FQ2 2004</stp>
        <stp>[FA1_j2ahgkxc.xlsx]Cash Flow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4"/>
      </tp>
      <tp>
        <v>110.435</v>
        <stp/>
        <stp>##V3_BDHV12</stp>
        <stp>AMZN US Equity</stp>
        <stp>IS_OPER_INC</stp>
        <stp>FQ1 2004</stp>
        <stp>FQ1 2004</stp>
        <stp>[FA1_j2ahgkxc.xlsx]Income - Adjusted!R12C23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>
        <v>106</v>
        <stp/>
        <stp>##V3_BDHV12</stp>
        <stp>AMZN US Equity</stp>
        <stp>IS_OPER_INC</stp>
        <stp>FQ1 2006</stp>
        <stp>FQ1 2006</stp>
        <stp>[FA1_j2ahgkxc.xlsx]Income - Adjusted!R12C31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2" s="2"/>
      </tp>
      <tp>
        <v>11.747999999999999</v>
        <stp/>
        <stp>##V3_BDHV12</stp>
        <stp>AMZN US Equity</stp>
        <stp>IS_OPER_INC</stp>
        <stp>FQ1 2002</stp>
        <stp>FQ1 2002</stp>
        <stp>[FA1_j2ahgkxc.xlsx]Income - Adjusted!R12C15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-2</v>
        <stp/>
        <stp>##V3_BDHV12</stp>
        <stp>AMZN US Equity</stp>
        <stp>CF_DEF_INC_TAX</stp>
        <stp>FQ3 2007</stp>
        <stp>FQ3 2007</stp>
        <stp>[FA1_j2ahgkxc.xlsx]Cash Flow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4"/>
      </tp>
      <tp>
        <v>41</v>
        <stp/>
        <stp>##V3_BDHV12</stp>
        <stp>AMZN US Equity</stp>
        <stp>CF_DEF_INC_TAX</stp>
        <stp>FQ4 2008</stp>
        <stp>FQ4 2008</stp>
        <stp>[FA1_j2ahgkxc.xlsx]Cash Flow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4"/>
      </tp>
      <tp>
        <v>44</v>
        <stp/>
        <stp>##V3_BDHV12</stp>
        <stp>AMZN US Equity</stp>
        <stp>CF_DEF_INC_TAX</stp>
        <stp>FQ2 2005</stp>
        <stp>FQ2 2005</stp>
        <stp>[FA1_j2ahgkxc.xlsx]Cash Flow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4"/>
      </tp>
      <tp t="s">
        <v>—</v>
        <stp/>
        <stp>##V3_BDHV12</stp>
        <stp>AMZN US Equity</stp>
        <stp>CF_DEF_INC_TAX</stp>
        <stp>FQ1 2003</stp>
        <stp>FQ1 2003</stp>
        <stp>[FA1_j2ahgkxc.xlsx]Cash Flow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4"/>
      </tp>
      <tp>
        <v>54.4</v>
        <stp/>
        <stp>##V3_BDHV12</stp>
        <stp>AMZN US Equity</stp>
        <stp>PX_LAST</stp>
        <stp>FQ2 2004</stp>
        <stp>FQ2 2004</stp>
        <stp>[FA1_j2ahgkxc.xlsx]Stock Value!R6C24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6"/>
      </tp>
      <tp>
        <v>-4.1260000000000003</v>
        <stp/>
        <stp>##V3_BDHV12</stp>
        <stp>AMZN US Equity</stp>
        <stp>PROC_FR_REPAYMNTS_BOR_DETAILED</stp>
        <stp>FQ3 2002</stp>
        <stp>FQ3 2002</stp>
        <stp>[FA1_j2ahgkxc.xlsx]Cash Flow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4"/>
      </tp>
      <tp>
        <v>-310</v>
        <stp/>
        <stp>##V3_BDHV12</stp>
        <stp>AMZN US Equity</stp>
        <stp>PROC_FR_REPAYMNTS_BOR_DETAILED</stp>
        <stp>FQ1 2006</stp>
        <stp>FQ1 2006</stp>
        <stp>[FA1_j2ahgkxc.xlsx]Cash Flow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4"/>
      </tp>
      <tp>
        <v>-6.4660000000000002</v>
        <stp/>
        <stp>##V3_BDHV12</stp>
        <stp>AMZN US Equity</stp>
        <stp>PROC_FR_REPAYMNTS_BOR_DETAILED</stp>
        <stp>FQ3 2001</stp>
        <stp>FQ3 2001</stp>
        <stp>[FA1_j2ahgkxc.xlsx]Cash Flow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4"/>
      </tp>
      <tp>
        <v>26</v>
        <stp/>
        <stp>##V3_BDHV12</stp>
        <stp>AMZN US Equity</stp>
        <stp>PROC_FR_REPAYMNTS_BOR_DETAILED</stp>
        <stp>FQ1 2008</stp>
        <stp>FQ1 2008</stp>
        <stp>[FA1_j2ahgkxc.xlsx]Cash Flow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4"/>
      </tp>
    </main>
    <main first="bloomberg.rtd">
      <tp>
        <v>10.82</v>
        <stp/>
        <stp>##V3_BDHV12</stp>
        <stp>AMZN US Equity</stp>
        <stp>PX_LAST</stp>
        <stp>FQ4 2001</stp>
        <stp>FQ4 2001</stp>
        <stp>[FA1_j2ahgkxc.xlsx]Stock Value!R6C14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6"/>
      </tp>
      <tp>
        <v>39.46</v>
        <stp/>
        <stp>##V3_BDHV12</stp>
        <stp>AMZN US Equity</stp>
        <stp>PX_LAST</stp>
        <stp>FQ4 2006</stp>
        <stp>FQ4 2006</stp>
        <stp>[FA1_j2ahgkxc.xlsx]Stock Value!R6C34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6"/>
      </tp>
      <tp>
        <v>-17</v>
        <stp/>
        <stp>##V3_BDHV12</stp>
        <stp>AMZN US Equity</stp>
        <stp>PROC_FR_REPAYMNTS_BOR_DETAILED</stp>
        <stp>FQ1 2007</stp>
        <stp>FQ1 2007</stp>
        <stp>[FA1_j2ahgkxc.xlsx]Cash Flow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4"/>
      </tp>
      <tp>
        <v>68.625</v>
        <stp/>
        <stp>##V3_BDHV12</stp>
        <stp>AMZN US Equity</stp>
        <stp>PX_HIGH</stp>
        <stp>FQ2 2000</stp>
        <stp>FQ2 2000</stp>
        <stp>[FA1_j2ahgkxc.xlsx]Stock Value!R9C8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" s="6"/>
      </tp>
      <tp>
        <v>958</v>
        <stp/>
        <stp>##V3_BDHV12</stp>
        <stp>AMZN US Equity</stp>
        <stp>BS_MKT_SEC_OTHER_ST_INVEST</stp>
        <stp>FQ4 2008</stp>
        <stp>FQ4 2008</stp>
        <stp>[FA1_j2ahgkxc.xlsx]Bal Sheet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3"/>
      </tp>
      <tp>
        <v>832</v>
        <stp/>
        <stp>##V3_BDHV12</stp>
        <stp>AMZN US Equity</stp>
        <stp>BS_MKT_SEC_OTHER_ST_INVEST</stp>
        <stp>FQ2 2008</stp>
        <stp>FQ2 2008</stp>
        <stp>[FA1_j2ahgkxc.xlsx]Bal Sheet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3"/>
      </tp>
      <tp>
        <v>674</v>
        <stp/>
        <stp>##V3_BDHV12</stp>
        <stp>AMZN US Equity</stp>
        <stp>BS_MKT_SEC_OTHER_ST_INVEST</stp>
        <stp>FQ3 2008</stp>
        <stp>FQ3 2008</stp>
        <stp>[FA1_j2ahgkxc.xlsx]Bal Sheet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3"/>
      </tp>
      <tp>
        <v>14</v>
        <stp/>
        <stp>##V3_BDHV12</stp>
        <stp>AMZN US Equity</stp>
        <stp>BS_NUM_OF_TSY_SH</stp>
        <stp>FQ2 2008</stp>
        <stp>FQ2 2008</stp>
        <stp>[FA1_j2ahgkxc.xlsx]Bal Sheet - Standardized!R60C40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0" s="3"/>
      </tp>
      <tp>
        <v>14</v>
        <stp/>
        <stp>##V3_BDHV12</stp>
        <stp>AMZN US Equity</stp>
        <stp>BS_NUM_OF_TSY_SH</stp>
        <stp>FQ3 2008</stp>
        <stp>FQ3 2008</stp>
        <stp>[FA1_j2ahgkxc.xlsx]Bal Sheet - Standardized!R60C41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0" s="3"/>
      </tp>
      <tp>
        <v>0.28999999999999998</v>
        <stp/>
        <stp>##V3_BDHV12</stp>
        <stp>AMZN US Equity</stp>
        <stp>IS_DIL_EPS_CONT_OPS</stp>
        <stp>FQ4 2003</stp>
        <stp>FQ4 2003</stp>
        <stp>[FA1_j2ahgkxc.xlsx]Per Share!R19C22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9" s="5"/>
      </tp>
      <tp>
        <v>0.17</v>
        <stp/>
        <stp>##V3_BDHV12</stp>
        <stp>AMZN US Equity</stp>
        <stp>IS_DIL_EPS_CONT_OPS</stp>
        <stp>FQ3 2004</stp>
        <stp>FQ3 2004</stp>
        <stp>[FA1_j2ahgkxc.xlsx]Per Share!R19C25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9" s="5"/>
      </tp>
      <tp>
        <v>0.19</v>
        <stp/>
        <stp>##V3_BDHV12</stp>
        <stp>AMZN US Equity</stp>
        <stp>IS_DIL_EPS_CONT_OPS</stp>
        <stp>FQ2 2007</stp>
        <stp>FQ2 2007</stp>
        <stp>[FA1_j2ahgkxc.xlsx]Per Share!R19C36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9" s="5"/>
      </tp>
      <tp>
        <v>0.34</v>
        <stp/>
        <stp>##V3_BDHV12</stp>
        <stp>AMZN US Equity</stp>
        <stp>IS_DIL_EPS_CONT_OPS</stp>
        <stp>FQ1 2008</stp>
        <stp>FQ1 2008</stp>
        <stp>[FA1_j2ahgkxc.xlsx]Per Share!R19C39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9" s="5"/>
      </tp>
      <tp>
        <v>41</v>
        <stp/>
        <stp>##V3_BDHV12</stp>
        <stp>AMZN US Equity</stp>
        <stp>PX_LOW</stp>
        <stp>FQ3 1999</stp>
        <stp>FQ3 1999</stp>
        <stp>[FA1_j2ahgkxc.xlsx]Stock Value!R10C5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0" s="6"/>
      </tp>
      <tp>
        <v>271</v>
        <stp/>
        <stp>##V3_BDHV12</stp>
        <stp>AMZN US Equity</stp>
        <stp>EBIT</stp>
        <stp>FQ4 2007</stp>
        <stp>FQ4 2007</stp>
        <stp>[FA1_j2ahgkxc.xlsx]Income - Adjusted!R49C38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9" s="2"/>
      </tp>
      <tp>
        <v>428.67410000000001</v>
        <stp/>
        <stp>##V3_BDHV12</stp>
        <stp>AMZN US Equity</stp>
        <stp>OTHER_CURRENT_LIABS_DETAILED</stp>
        <stp>FQ4 2003</stp>
        <stp>FQ4 2003</stp>
        <stp>[FA1_j2ahgkxc.xlsx]Bal Sheet - Standardized!R38C22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8" s="3"/>
      </tp>
      <tp>
        <v>476.286</v>
        <stp/>
        <stp>##V3_BDHV12</stp>
        <stp>AMZN US Equity</stp>
        <stp>OTHER_CURRENT_LIABS_DETAILED</stp>
        <stp>FQ4 2004</stp>
        <stp>FQ4 2004</stp>
        <stp>[FA1_j2ahgkxc.xlsx]Bal Sheet - Standardized!R38C26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8" s="3"/>
      </tp>
      <tp>
        <v>-0.03</v>
        <stp/>
        <stp>##V3_BDHV12</stp>
        <stp>AMZN US Equity</stp>
        <stp>IS_EARN_BEF_XO_ITEMS_PER_SH</stp>
        <stp>FQ1 2003</stp>
        <stp>FQ1 2003</stp>
        <stp>[FA1_j2ahgkxc.xlsx]Income - Adjusted!R36C19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6" s="2"/>
      </tp>
      <tp>
        <v>0.52</v>
        <stp/>
        <stp>##V3_BDHV12</stp>
        <stp>AMZN US Equity</stp>
        <stp>IS_EARN_BEF_XO_ITEMS_PER_SH</stp>
        <stp>FQ4 2008</stp>
        <stp>FQ4 2008</stp>
        <stp>[FA1_j2ahgkxc.xlsx]Income - Adjusted!R36C42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6" s="2"/>
      </tp>
      <tp>
        <v>0.01</v>
        <stp/>
        <stp>##V3_BDHV12</stp>
        <stp>AMZN US Equity</stp>
        <stp>IS_EARN_BEF_XO_ITEMS_PER_SH</stp>
        <stp>FQ4 2002</stp>
        <stp>FQ4 2002</stp>
        <stp>[FA1_j2ahgkxc.xlsx]Income - Adjusted!R36C18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6" s="2"/>
      </tp>
      <tp>
        <v>-0.68</v>
        <stp/>
        <stp>##V3_BDHV12</stp>
        <stp>AMZN US Equity</stp>
        <stp>IS_EPS</stp>
        <stp>FQ3 2000</stp>
        <stp>FQ3 2000</stp>
        <stp>[FA1_j2ahgkxc.xlsx]Per Share!R14C9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4" s="5"/>
      </tp>
      <tp>
        <v>-0.9</v>
        <stp/>
        <stp>##V3_BDHV12</stp>
        <stp>AMZN US Equity</stp>
        <stp>IS_EPS</stp>
        <stp>FQ1 2000</stp>
        <stp>FQ1 2000</stp>
        <stp>[FA1_j2ahgkxc.xlsx]Per Share!R14C8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4" s="5"/>
      </tp>
      <tp>
        <v>812</v>
        <stp/>
        <stp>##V3_BDHV12</stp>
        <stp>AMZN US Equity</stp>
        <stp>OTHER_CURRENT_LIABS_DETAILED</stp>
        <stp>FQ2 2008</stp>
        <stp>FQ2 2008</stp>
        <stp>[FA1_j2ahgkxc.xlsx]Bal Sheet - Standardized!R38C40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8" s="3"/>
      </tp>
      <tp>
        <v>-2</v>
        <stp/>
        <stp>##V3_BDHV12</stp>
        <stp>AMZN US Equity</stp>
        <stp>CF_DEF_INC_TAX</stp>
        <stp>FQ2 2006</stp>
        <stp>FQ2 2006</stp>
        <stp>[FA1_j2ahgkxc.xlsx]Cash Flow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4"/>
      </tp>
      <tp>
        <v>67.316000000000003</v>
        <stp/>
        <stp>##V3_BDHV12</stp>
        <stp>AMZN US Equity</stp>
        <stp>CF_DECR_INVEST</stp>
        <stp>FQ4 2001</stp>
        <stp>FQ4 2001</stp>
        <stp>[FA1_j2ahgkxc.xlsx]Cash Flow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4"/>
      </tp>
      <tp>
        <v>-286.214</v>
        <stp/>
        <stp>##V3_BDHV12</stp>
        <stp>AMZN US Equity</stp>
        <stp>CF_INCR_INVEST</stp>
        <stp>FQ4 2001</stp>
        <stp>FQ4 2001</stp>
        <stp>[FA1_j2ahgkxc.xlsx]Cash Flow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4"/>
      </tp>
      <tp t="s">
        <v>—</v>
        <stp/>
        <stp>##V3_BDHV12</stp>
        <stp>AMZN US Equity</stp>
        <stp>CF_DEF_INC_TAX</stp>
        <stp>FQ3 2003</stp>
        <stp>FQ3 2003</stp>
        <stp>[FA1_j2ahgkxc.xlsx]Cash Flow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4"/>
      </tp>
      <tp t="s">
        <v>—</v>
        <stp/>
        <stp>##V3_BDHV12</stp>
        <stp>AMZN US Equity</stp>
        <stp>CF_DEF_INC_TAX</stp>
        <stp>FQ3 2004</stp>
        <stp>FQ3 2004</stp>
        <stp>[FA1_j2ahgkxc.xlsx]Cash Flow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4"/>
      </tp>
      <tp>
        <v>-2</v>
        <stp/>
        <stp>##V3_BDHV12</stp>
        <stp>AMZN US Equity</stp>
        <stp>CF_DEF_INC_TAX</stp>
        <stp>FQ2 2007</stp>
        <stp>FQ2 2007</stp>
        <stp>[FA1_j2ahgkxc.xlsx]Cash Flow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4"/>
      </tp>
      <tp>
        <v>23.811</v>
        <stp/>
        <stp>##V3_BDHV12</stp>
        <stp>AMZN US Equity</stp>
        <stp>CF_DECR_INVEST</stp>
        <stp>FQ4 2000</stp>
        <stp>FQ4 2000</stp>
        <stp>[FA1_j2ahgkxc.xlsx]Cash Flow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4"/>
      </tp>
      <tp>
        <v>-88.715000000000003</v>
        <stp/>
        <stp>##V3_BDHV12</stp>
        <stp>AMZN US Equity</stp>
        <stp>CF_INCR_INVEST</stp>
        <stp>FQ4 2000</stp>
        <stp>FQ4 2000</stp>
        <stp>[FA1_j2ahgkxc.xlsx]Cash Flow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4"/>
      </tp>
      <tp>
        <v>23</v>
        <stp/>
        <stp>##V3_BDHV12</stp>
        <stp>AMZN US Equity</stp>
        <stp>CF_DEF_INC_TAX</stp>
        <stp>FQ3 2005</stp>
        <stp>FQ3 2005</stp>
        <stp>[FA1_j2ahgkxc.xlsx]Cash Flow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4"/>
      </tp>
      <tp>
        <v>152.75700000000001</v>
        <stp/>
        <stp>##V3_BDHV12</stp>
        <stp>AMZN US Equity</stp>
        <stp>CF_DECR_INVEST</stp>
        <stp>FQ4 2002</stp>
        <stp>FQ4 2002</stp>
        <stp>[FA1_j2ahgkxc.xlsx]Cash Flow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4"/>
      </tp>
      <tp>
        <v>-173.52</v>
        <stp/>
        <stp>##V3_BDHV12</stp>
        <stp>AMZN US Equity</stp>
        <stp>CF_INCR_INVEST</stp>
        <stp>FQ4 2002</stp>
        <stp>FQ4 2002</stp>
        <stp>[FA1_j2ahgkxc.xlsx]Cash Flow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4"/>
      </tp>
      <tp>
        <v>40.86</v>
        <stp/>
        <stp>##V3_BDHV12</stp>
        <stp>AMZN US Equity</stp>
        <stp>PX_LAST</stp>
        <stp>FQ3 2004</stp>
        <stp>FQ3 2004</stp>
        <stp>[FA1_j2ahgkxc.xlsx]Stock Value!R6C25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6"/>
      </tp>
      <tp>
        <v>39.79</v>
        <stp/>
        <stp>##V3_BDHV12</stp>
        <stp>AMZN US Equity</stp>
        <stp>PX_LAST</stp>
        <stp>FQ1 2007</stp>
        <stp>FQ1 2007</stp>
        <stp>[FA1_j2ahgkxc.xlsx]Stock Value!R6C35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6"/>
      </tp>
      <tp>
        <v>14.3</v>
        <stp/>
        <stp>##V3_BDHV12</stp>
        <stp>AMZN US Equity</stp>
        <stp>PX_LAST</stp>
        <stp>FQ1 2002</stp>
        <stp>FQ1 2002</stp>
        <stp>[FA1_j2ahgkxc.xlsx]Stock Value!R6C15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6"/>
      </tp>
      <tp>
        <v>-3.4319999999999999</v>
        <stp/>
        <stp>##V3_BDHV12</stp>
        <stp>AMZN US Equity</stp>
        <stp>PROC_FR_REPAYMNTS_BOR_DETAILED</stp>
        <stp>FQ2 2002</stp>
        <stp>FQ2 2002</stp>
        <stp>[FA1_j2ahgkxc.xlsx]Cash Flow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4"/>
      </tp>
      <tp>
        <v>-155.64699999999999</v>
        <stp/>
        <stp>##V3_BDHV12</stp>
        <stp>AMZN US Equity</stp>
        <stp>PROC_FR_REPAYMNTS_BOR_DETAILED</stp>
        <stp>FQ1 2004</stp>
        <stp>FQ1 2004</stp>
        <stp>[FA1_j2ahgkxc.xlsx]Cash Flow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4"/>
      </tp>
      <tp>
        <v>-4.0940000000000003</v>
        <stp/>
        <stp>##V3_BDHV12</stp>
        <stp>AMZN US Equity</stp>
        <stp>PROC_FR_REPAYMNTS_BOR_DETAILED</stp>
        <stp>FQ2 2001</stp>
        <stp>FQ2 2001</stp>
        <stp>[FA1_j2ahgkxc.xlsx]Cash Flow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4"/>
      </tp>
      <tp>
        <v>-265</v>
        <stp/>
        <stp>##V3_BDHV12</stp>
        <stp>AMZN US Equity</stp>
        <stp>PROC_FR_REPAYMNTS_BOR_DETAILED</stp>
        <stp>FQ1 2005</stp>
        <stp>FQ1 2005</stp>
        <stp>[FA1_j2ahgkxc.xlsx]Cash Flow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4"/>
      </tp>
      <tp>
        <v>99.563000000000002</v>
        <stp/>
        <stp>##V3_BDHV12</stp>
        <stp>AMZN US Equity</stp>
        <stp>PX_HIGH</stp>
        <stp>FQ1 1999</stp>
        <stp>FQ1 1999</stp>
        <stp>[FA1_j2ahgkxc.xlsx]Stock Value!R9C3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" s="6"/>
      </tp>
      <tp>
        <v>49.625</v>
        <stp/>
        <stp>##V3_BDHV12</stp>
        <stp>AMZN US Equity</stp>
        <stp>PX_HIGH</stp>
        <stp>FQ3 2000</stp>
        <stp>FQ3 2000</stp>
        <stp>[FA1_j2ahgkxc.xlsx]Stock Value!R9C9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9" s="6"/>
      </tp>
      <tp t="s">
        <v>—</v>
        <stp/>
        <stp>##V3_BDHV12</stp>
        <stp>AMZN US Equity</stp>
        <stp>BS_NUM_OF_TSY_SH</stp>
        <stp>FQ4 2007</stp>
        <stp>FQ4 2007</stp>
        <stp>[FA1_j2ahgkxc.xlsx]Bal Sheet - Standardized!R60C38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0" s="3"/>
      </tp>
      <tp>
        <v>0</v>
        <stp/>
        <stp>##V3_BDHV12</stp>
        <stp>AMZN US Equity</stp>
        <stp>BS_NUM_OF_TSY_SH</stp>
        <stp>FQ1 2003</stp>
        <stp>FQ1 2003</stp>
        <stp>[FA1_j2ahgkxc.xlsx]Bal Sheet - Standardized!R60C19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0" s="3"/>
      </tp>
      <tp>
        <v>-0.25</v>
        <stp/>
        <stp>##V3_BDHV12</stp>
        <stp>AMZN US Equity</stp>
        <stp>IS_DIL_EPS_CONT_OPS</stp>
        <stp>FQ4 2000</stp>
        <stp>FQ4 2000</stp>
        <stp>[FA1_j2ahgkxc.xlsx]Per Share!R19C10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9" s="5"/>
      </tp>
      <tp>
        <v>0.19</v>
        <stp/>
        <stp>##V3_BDHV12</stp>
        <stp>AMZN US Equity</stp>
        <stp>IS_DIL_EPS_CONT_OPS</stp>
        <stp>FQ3 2007</stp>
        <stp>FQ3 2007</stp>
        <stp>[FA1_j2ahgkxc.xlsx]Per Share!R19C37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9" s="5"/>
      </tp>
      <tp>
        <v>0.18</v>
        <stp/>
        <stp>##V3_BDHV12</stp>
        <stp>AMZN US Equity</stp>
        <stp>IS_DIL_EPS_CONT_OPS</stp>
        <stp>FQ2 2004</stp>
        <stp>FQ2 2004</stp>
        <stp>[FA1_j2ahgkxc.xlsx]Per Share!R19C24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9" s="5"/>
      </tp>
      <tp>
        <v>-0.21</v>
        <stp/>
        <stp>##V3_BDHV12</stp>
        <stp>AMZN US Equity</stp>
        <stp>IS_DIL_EPS_CONT_OPS</stp>
        <stp>FQ1 2001</stp>
        <stp>FQ1 2001</stp>
        <stp>[FA1_j2ahgkxc.xlsx]Per Share!R19C11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9" s="5"/>
      </tp>
      <tp>
        <v>44.875</v>
        <stp/>
        <stp>##V3_BDHV12</stp>
        <stp>AMZN US Equity</stp>
        <stp>PX_LOW</stp>
        <stp>FQ2 1999</stp>
        <stp>FQ2 1999</stp>
        <stp>[FA1_j2ahgkxc.xlsx]Stock Value!R10C4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0" s="6"/>
      </tp>
      <tp>
        <v>665</v>
        <stp/>
        <stp>##V3_BDHV12</stp>
        <stp>AMZN US Equity</stp>
        <stp>OTHER_CURRENT_LIABS_DETAILED</stp>
        <stp>FQ4 2006</stp>
        <stp>FQ4 2006</stp>
        <stp>[FA1_j2ahgkxc.xlsx]Bal Sheet - Standardized!R38C34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8" s="3"/>
      </tp>
      <tp>
        <v>558</v>
        <stp/>
        <stp>##V3_BDHV12</stp>
        <stp>AMZN US Equity</stp>
        <stp>OTHER_CURRENT_LIABS_DETAILED</stp>
        <stp>FQ4 2005</stp>
        <stp>FQ4 2005</stp>
        <stp>[FA1_j2ahgkxc.xlsx]Bal Sheet - Standardized!R38C30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8" s="3"/>
      </tp>
      <tp t="s">
        <v>—</v>
        <stp/>
        <stp>##V3_BDHV12</stp>
        <stp>AMZN US Equity</stp>
        <stp>IS_FOREIGN_EXCH_LOSS</stp>
        <stp>FQ4 2008</stp>
        <stp>FQ4 2008</stp>
        <stp>[FA1_j2ahgkxc.xlsx]Income - Adjusted!R16C42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6" s="2"/>
      </tp>
      <tp>
        <v>0</v>
        <stp/>
        <stp>##V3_BDHV12</stp>
        <stp>AMZN US Equity</stp>
        <stp>IS_FOREIGN_EXCH_LOSS</stp>
        <stp>FQ4 2002</stp>
        <stp>FQ4 2002</stp>
        <stp>[FA1_j2ahgkxc.xlsx]Income - Adjusted!R16C18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6" s="2"/>
      </tp>
      <tp>
        <v>0</v>
        <stp/>
        <stp>##V3_BDHV12</stp>
        <stp>AMZN US Equity</stp>
        <stp>IS_FOREIGN_EXCH_LOSS</stp>
        <stp>FQ1 2003</stp>
        <stp>FQ1 2003</stp>
        <stp>[FA1_j2ahgkxc.xlsx]Income - Adjusted!R16C19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6" s="2"/>
      </tp>
      <tp>
        <v>876</v>
        <stp/>
        <stp>##V3_BDHV12</stp>
        <stp>AMZN US Equity</stp>
        <stp>OTHER_CURRENT_LIABS_DETAILED</stp>
        <stp>FQ4 2007</stp>
        <stp>FQ4 2007</stp>
        <stp>[FA1_j2ahgkxc.xlsx]Bal Sheet - Standardized!R38C38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8" s="3"/>
      </tp>
      <tp>
        <v>860</v>
        <stp/>
        <stp>##V3_BDHV12</stp>
        <stp>AMZN US Equity</stp>
        <stp>OTHER_CURRENT_LIABS_DETAILED</stp>
        <stp>FQ3 2008</stp>
        <stp>FQ3 2008</stp>
        <stp>[FA1_j2ahgkxc.xlsx]Bal Sheet - Standardized!R38C41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8" s="3"/>
      </tp>
      <tp>
        <v>0</v>
        <stp/>
        <stp>##V3_BDHV12</stp>
        <stp>AMZN US Equity</stp>
        <stp>EQY_DPS</stp>
        <stp>FQ4 1999</stp>
        <stp>FQ4 1999</stp>
        <stp>[FA1_j2ahgkxc.xlsx]Per Share!R20C7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0" s="5"/>
      </tp>
      <tp>
        <v>-0.06</v>
        <stp/>
        <stp>##V3_BDHV12</stp>
        <stp>AMZN US Equity</stp>
        <stp>IS_DIL_EPS_BEF_XO</stp>
        <stp>FQ1 2002</stp>
        <stp>FQ1 2002</stp>
        <stp>[FA1_j2ahgkxc.xlsx]Income - Adjusted!R41C15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1" s="2"/>
      </tp>
      <tp>
        <v>0.26</v>
        <stp/>
        <stp>##V3_BDHV12</stp>
        <stp>AMZN US Equity</stp>
        <stp>IS_DIL_EPS_BEF_XO</stp>
        <stp>FQ1 2004</stp>
        <stp>FQ1 2004</stp>
        <stp>[FA1_j2ahgkxc.xlsx]Income - Adjusted!R41C23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1" s="2"/>
      </tp>
      <tp>
        <v>0.12</v>
        <stp/>
        <stp>##V3_BDHV12</stp>
        <stp>AMZN US Equity</stp>
        <stp>IS_DIL_EPS_BEF_XO</stp>
        <stp>FQ1 2006</stp>
        <stp>FQ1 2006</stp>
        <stp>[FA1_j2ahgkxc.xlsx]Income - Adjusted!R41C31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1" s="2"/>
      </tp>
      <tp>
        <v>10</v>
        <stp/>
        <stp>##V3_BDHV12</stp>
        <stp>AMZN US Equity</stp>
        <stp>CF_DEF_INC_TAX</stp>
        <stp>FQ1 2006</stp>
        <stp>FQ1 2006</stp>
        <stp>[FA1_j2ahgkxc.xlsx]Cash Flow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4"/>
      </tp>
      <tp t="s">
        <v>—</v>
        <stp/>
        <stp>##V3_BDHV12</stp>
        <stp>AMZN US Equity</stp>
        <stp>CF_DEF_INC_TAX</stp>
        <stp>FQ3 2002</stp>
        <stp>FQ3 2002</stp>
        <stp>[FA1_j2ahgkxc.xlsx]Cash Flow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4"/>
      </tp>
      <tp>
        <v>-19</v>
        <stp/>
        <stp>##V3_BDHV12</stp>
        <stp>AMZN US Equity</stp>
        <stp>CF_DEF_INC_TAX</stp>
        <stp>FQ1 2008</stp>
        <stp>FQ1 2008</stp>
        <stp>[FA1_j2ahgkxc.xlsx]Cash Flow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4"/>
      </tp>
      <tp>
        <v>0</v>
        <stp/>
        <stp>##V3_BDHV12</stp>
        <stp>AMZN US Equity</stp>
        <stp>CF_DECR_INVEST</stp>
        <stp>FQ4 2004</stp>
        <stp>FQ4 2004</stp>
        <stp>[FA1_j2ahgkxc.xlsx]Cash Flow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4"/>
      </tp>
      <tp t="s">
        <v>—</v>
        <stp/>
        <stp>##V3_BDHV12</stp>
        <stp>AMZN US Equity</stp>
        <stp>CF_DEF_INC_TAX</stp>
        <stp>FQ3 2001</stp>
        <stp>FQ3 2001</stp>
        <stp>[FA1_j2ahgkxc.xlsx]Cash Flow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4"/>
      </tp>
      <tp>
        <v>0</v>
        <stp/>
        <stp>##V3_BDHV12</stp>
        <stp>AMZN US Equity</stp>
        <stp>CF_INCR_INVEST</stp>
        <stp>FQ4 2004</stp>
        <stp>FQ4 2004</stp>
        <stp>[FA1_j2ahgkxc.xlsx]Cash Flow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4"/>
      </tp>
      <tp>
        <v>0</v>
        <stp/>
        <stp>##V3_BDHV12</stp>
        <stp>AMZN US Equity</stp>
        <stp>CF_DECR_INVEST</stp>
        <stp>FQ4 2003</stp>
        <stp>FQ4 2003</stp>
        <stp>[FA1_j2ahgkxc.xlsx]Cash Flow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4"/>
      </tp>
      <tp>
        <v>0</v>
        <stp/>
        <stp>##V3_BDHV12</stp>
        <stp>AMZN US Equity</stp>
        <stp>CF_INCR_INVEST</stp>
        <stp>FQ4 2003</stp>
        <stp>FQ4 2003</stp>
        <stp>[FA1_j2ahgkxc.xlsx]Cash Flow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4"/>
      </tp>
      <tp>
        <v>40</v>
        <stp/>
        <stp>##V3_BDHV12</stp>
        <stp>AMZN US Equity</stp>
        <stp>IS_OPER_INC</stp>
        <stp>FQ3 2006</stp>
        <stp>FQ3 2006</stp>
        <stp>[FA1_j2ahgkxc.xlsx]Income - Adjusted!R12C33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2" s="2"/>
      </tp>
      <tp>
        <v>27.111999999999998</v>
        <stp/>
        <stp>##V3_BDHV12</stp>
        <stp>AMZN US Equity</stp>
        <stp>IS_OPER_INC</stp>
        <stp>FQ3 2002</stp>
        <stp>FQ3 2002</stp>
        <stp>[FA1_j2ahgkxc.xlsx]Income - Adjusted!R12C17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21.773</v>
        <stp/>
        <stp>##V3_BDHV12</stp>
        <stp>AMZN US Equity</stp>
        <stp>IS_OPER_INC</stp>
        <stp>FQ4 2001</stp>
        <stp>FQ4 2001</stp>
        <stp>[FA1_j2ahgkxc.xlsx]Income - Adjusted!R12C14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165</v>
        <stp/>
        <stp>##V3_BDHV12</stp>
        <stp>AMZN US Equity</stp>
        <stp>IS_OPER_INC</stp>
        <stp>FQ4 2005</stp>
        <stp>FQ4 2005</stp>
        <stp>[FA1_j2ahgkxc.xlsx]Income - Adjusted!R12C30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2" s="2"/>
      </tp>
      <tp>
        <v>2</v>
        <stp/>
        <stp>##V3_BDHV12</stp>
        <stp>AMZN US Equity</stp>
        <stp>CF_DEF_INC_TAX</stp>
        <stp>FQ1 2007</stp>
        <stp>FQ1 2007</stp>
        <stp>[FA1_j2ahgkxc.xlsx]Cash Flow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4"/>
      </tp>
      <tp>
        <v>0</v>
        <stp/>
        <stp>##V3_BDHV12</stp>
        <stp>AMZN US Equity</stp>
        <stp>CF_INCR_INVEST</stp>
        <stp>FQ2 2008</stp>
        <stp>FQ2 2008</stp>
        <stp>[FA1_j2ahgkxc.xlsx]Cash Flow - Standardized!R26C40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4"/>
      </tp>
      <tp>
        <v>0</v>
        <stp/>
        <stp>##V3_BDHV12</stp>
        <stp>AMZN US Equity</stp>
        <stp>CF_DECR_INVEST</stp>
        <stp>FQ2 2008</stp>
        <stp>FQ2 2008</stp>
        <stp>[FA1_j2ahgkxc.xlsx]Cash Flow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4"/>
      </tp>
      <tp>
        <v>68.41</v>
        <stp/>
        <stp>##V3_BDHV12</stp>
        <stp>AMZN US Equity</stp>
        <stp>PX_LAST</stp>
        <stp>FQ2 2007</stp>
        <stp>FQ2 2007</stp>
        <stp>[FA1_j2ahgkxc.xlsx]Stock Value!R6C36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6"/>
      </tp>
      <tp>
        <v>16.25</v>
        <stp/>
        <stp>##V3_BDHV12</stp>
        <stp>AMZN US Equity</stp>
        <stp>PX_LAST</stp>
        <stp>FQ2 2002</stp>
        <stp>FQ2 2002</stp>
        <stp>[FA1_j2ahgkxc.xlsx]Stock Value!R6C16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6"/>
      </tp>
      <tp>
        <v>-4.5629999999999997</v>
        <stp/>
        <stp>##V3_BDHV12</stp>
        <stp>AMZN US Equity</stp>
        <stp>PROC_FR_REPAYMNTS_BOR_DETAILED</stp>
        <stp>FQ1 2002</stp>
        <stp>FQ1 2002</stp>
        <stp>[FA1_j2ahgkxc.xlsx]Cash Flow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4"/>
      </tp>
      <tp>
        <v>-29</v>
        <stp/>
        <stp>##V3_BDHV12</stp>
        <stp>AMZN US Equity</stp>
        <stp>PROC_FR_REPAYMNTS_BOR_DETAILED</stp>
        <stp>FQ3 2006</stp>
        <stp>FQ3 2006</stp>
        <stp>[FA1_j2ahgkxc.xlsx]Cash Flow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4"/>
      </tp>
      <tp>
        <v>5.4249999999999998</v>
        <stp/>
        <stp>##V3_BDHV12</stp>
        <stp>AMZN US Equity</stp>
        <stp>PROC_FR_REPAYMNTS_BOR_DETAILED</stp>
        <stp>FQ1 2001</stp>
        <stp>FQ1 2001</stp>
        <stp>[FA1_j2ahgkxc.xlsx]Cash Flow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4"/>
      </tp>
      <tp>
        <v>-280.91800000000001</v>
        <stp/>
        <stp>##V3_BDHV12</stp>
        <stp>AMZN US Equity</stp>
        <stp>PROC_FR_REPAYMNTS_BOR_DETAILED</stp>
        <stp>FQ2 2003</stp>
        <stp>FQ2 2003</stp>
        <stp>[FA1_j2ahgkxc.xlsx]Cash Flow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4"/>
      </tp>
      <tp>
        <v>44.29</v>
        <stp/>
        <stp>##V3_BDHV12</stp>
        <stp>AMZN US Equity</stp>
        <stp>PX_LAST</stp>
        <stp>FQ4 2004</stp>
        <stp>FQ4 2004</stp>
        <stp>[FA1_j2ahgkxc.xlsx]Stock Value!R6C26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6"/>
      </tp>
      <tp>
        <v>4</v>
        <stp/>
        <stp>##V3_BDHV12</stp>
        <stp>AMZN US Equity</stp>
        <stp>PROC_FR_REPAYMNTS_BOR_DETAILED</stp>
        <stp>FQ3 2007</stp>
        <stp>FQ3 2007</stp>
        <stp>[FA1_j2ahgkxc.xlsx]Cash Flow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4"/>
      </tp>
      <tp>
        <v>-0.64500000000000002</v>
        <stp/>
        <stp>##V3_BDHV12</stp>
        <stp>AMZN US Equity</stp>
        <stp>PROC_FR_REPAYMNTS_BOR_DETAILED</stp>
        <stp>FQ2 2004</stp>
        <stp>FQ2 2004</stp>
        <stp>[FA1_j2ahgkxc.xlsx]Cash Flow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4"/>
      </tp>
      <tp>
        <v>0</v>
        <stp/>
        <stp>##V3_BDHV12</stp>
        <stp>AMZN US Equity</stp>
        <stp>PROC_FR_REPAYMNTS_BOR_DETAILED</stp>
        <stp>FQ2 2005</stp>
        <stp>FQ2 2005</stp>
        <stp>[FA1_j2ahgkxc.xlsx]Cash Flow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4"/>
      </tp>
      <tp>
        <v>36</v>
        <stp/>
        <stp>##V3_BDHV12</stp>
        <stp>AMZN US Equity</stp>
        <stp>PROC_FR_REPAYMNTS_BOR_DETAILED</stp>
        <stp>FQ4 2008</stp>
        <stp>FQ4 2008</stp>
        <stp>[FA1_j2ahgkxc.xlsx]Cash Flow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4"/>
      </tp>
      <tp>
        <v>-3.2210000000000001</v>
        <stp/>
        <stp>##V3_BDHV12</stp>
        <stp>AMZN US Equity</stp>
        <stp>PROC_FR_REPAYMNTS_BOR_DETAILED</stp>
        <stp>FQ1 2003</stp>
        <stp>FQ1 2003</stp>
        <stp>[FA1_j2ahgkxc.xlsx]Cash Flow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4"/>
      </tp>
      <tp t="s">
        <v>—</v>
        <stp/>
        <stp>##V3_BDHV12</stp>
        <stp>AMZN US Equity</stp>
        <stp>NET_DEBT_TO_SHRHLDR_EQTY</stp>
        <stp>FQ2 2005</stp>
        <stp>FQ2 2005</stp>
        <stp>[FA1_j2ahgkxc.xlsx]Bal Sheet - Standardized!R66C28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6" s="3"/>
      </tp>
      <tp>
        <v>1850</v>
        <stp/>
        <stp>##V3_BDHV12</stp>
        <stp>AMZN US Equity</stp>
        <stp>NET_DEBT_TO_SHRHLDR_EQTY</stp>
        <stp>FQ3 2005</stp>
        <stp>FQ3 2005</stp>
        <stp>[FA1_j2ahgkxc.xlsx]Bal Sheet - Standardized!R66C29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6" s="3"/>
      </tp>
      <tp>
        <v>-0.68</v>
        <stp/>
        <stp>##V3_BDHV12</stp>
        <stp>AMZN US Equity</stp>
        <stp>IS_DILUTED_EPS</stp>
        <stp>FQ3 2000</stp>
        <stp>FQ3 2000</stp>
        <stp>[FA1_j2ahgkxc.xlsx]Income - Adjusted!R40C9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40" s="2"/>
      </tp>
      <tp>
        <v>-0.9</v>
        <stp/>
        <stp>##V3_BDHV12</stp>
        <stp>AMZN US Equity</stp>
        <stp>IS_DILUTED_EPS</stp>
        <stp>FQ1 2000</stp>
        <stp>FQ1 2000</stp>
        <stp>[FA1_j2ahgkxc.xlsx]Income - Adjusted!R40C8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40" s="2"/>
      </tp>
      <tp t="s">
        <v>—</v>
        <stp/>
        <stp>##V3_BDHV12</stp>
        <stp>AMZN US Equity</stp>
        <stp>NUM_OF_EMPLOYEES</stp>
        <stp>FQ4 1999</stp>
        <stp>FQ4 1999</stp>
        <stp>[FA1_j2ahgkxc.xlsx]Bal Sheet - Standardized!R70C7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0" s="3"/>
      </tp>
      <tp>
        <v>621.82399999999996</v>
        <stp/>
        <stp>##V3_BDHV12</stp>
        <stp>AMZN US Equity</stp>
        <stp>CF_NET_CHNG_CASH</stp>
        <stp>FQ1 2000</stp>
        <stp>FQ1 2000</stp>
        <stp>[FA1_j2ahgkxc.xlsx]Cash Flow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4"/>
      </tp>
      <tp>
        <v>-34.756</v>
        <stp/>
        <stp>##V3_BDHV12</stp>
        <stp>AMZN US Equity</stp>
        <stp>CF_NET_CHNG_CASH</stp>
        <stp>FQ2 2000</stp>
        <stp>FQ2 2000</stp>
        <stp>[FA1_j2ahgkxc.xlsx]Cash Flow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4"/>
      </tp>
      <tp>
        <v>-73.328999999999994</v>
        <stp/>
        <stp>##V3_BDHV12</stp>
        <stp>AMZN US Equity</stp>
        <stp>CF_NET_CHNG_CASH</stp>
        <stp>FQ3 2000</stp>
        <stp>FQ3 2000</stp>
        <stp>[FA1_j2ahgkxc.xlsx]Cash Flow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4"/>
      </tp>
      <tp>
        <v>0.1</v>
        <stp/>
        <stp>##V3_BDHV12</stp>
        <stp>AMZN US Equity</stp>
        <stp>IS_DIL_EPS_CONT_OPS</stp>
        <stp>FQ2 2003</stp>
        <stp>FQ2 2003</stp>
        <stp>[FA1_j2ahgkxc.xlsx]Per Share!R19C20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9" s="5"/>
      </tp>
      <tp>
        <v>-0.16</v>
        <stp/>
        <stp>##V3_BDHV12</stp>
        <stp>AMZN US Equity</stp>
        <stp>IS_DIL_EPS_CONT_OPS</stp>
        <stp>FQ2 2001</stp>
        <stp>FQ2 2001</stp>
        <stp>[FA1_j2ahgkxc.xlsx]Per Share!R19C12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9" s="5"/>
      </tp>
      <tp>
        <v>104</v>
        <stp/>
        <stp>##V3_BDHV12</stp>
        <stp>AMZN US Equity</stp>
        <stp>EBIT</stp>
        <stp>FQ2 2005</stp>
        <stp>FQ2 2005</stp>
        <stp>[FA1_j2ahgkxc.xlsx]Income - Adjusted!R49C28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9" s="2"/>
      </tp>
      <tp>
        <v>0.38</v>
        <stp/>
        <stp>##V3_BDHV12</stp>
        <stp>AMZN US Equity</stp>
        <stp>IS_EARN_BEF_XO_ITEMS_PER_SH</stp>
        <stp>FQ2 2008</stp>
        <stp>FQ2 2008</stp>
        <stp>[FA1_j2ahgkxc.xlsx]Income - Adjusted!R36C40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6" s="2"/>
      </tp>
      <tp>
        <v>0</v>
        <stp/>
        <stp>##V3_BDHV12</stp>
        <stp>AMZN US Equity</stp>
        <stp>IS_FOREIGN_EXCH_LOSS</stp>
        <stp>FQ3 2008</stp>
        <stp>FQ3 2008</stp>
        <stp>[FA1_j2ahgkxc.xlsx]Income - Adjusted!R16C41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6" s="2"/>
      </tp>
      <tp>
        <v>1.9978</v>
        <stp/>
        <stp>##V3_BDHV12</stp>
        <stp>AMZN US Equity</stp>
        <stp>REVENUE_PER_SH</stp>
        <stp>FQ4 1999</stp>
        <stp>FQ4 1999</stp>
        <stp>[FA1_j2ahgkxc.xlsx]Per Share!R11C7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1" s="5"/>
      </tp>
      <tp>
        <v>0.97529999999999994</v>
        <stp/>
        <stp>##V3_BDHV12</stp>
        <stp>AMZN US Equity</stp>
        <stp>REVENUE_PER_SH</stp>
        <stp>FQ2 1999</stp>
        <stp>FQ2 1999</stp>
        <stp>[FA1_j2ahgkxc.xlsx]Per Share!R11C5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1" s="5"/>
      </tp>
      <tp>
        <v>1.07</v>
        <stp/>
        <stp>##V3_BDHV12</stp>
        <stp>AMZN US Equity</stp>
        <stp>REVENUE_PER_SH</stp>
        <stp>FQ3 1999</stp>
        <stp>FQ3 1999</stp>
        <stp>[FA1_j2ahgkxc.xlsx]Per Share!R11C6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1" s="5"/>
      </tp>
      <tp>
        <v>0.93579999999999997</v>
        <stp/>
        <stp>##V3_BDHV12</stp>
        <stp>AMZN US Equity</stp>
        <stp>REVENUE_PER_SH</stp>
        <stp>FQ1 1999</stp>
        <stp>FQ1 1999</stp>
        <stp>[FA1_j2ahgkxc.xlsx]Per Share!R11C4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1" s="5"/>
      </tp>
      <tp>
        <v>1.3904000000000001</v>
        <stp/>
        <stp>##V3_BDHV12</stp>
        <stp>AMZN US Equity</stp>
        <stp>CUR_RATIO</stp>
        <stp>FQ4 2007</stp>
        <stp>FQ4 2007</stp>
        <stp>[FA1_j2ahgkxc.xlsx]Bal Sheet - Standardized!R68C38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8" s="3"/>
      </tp>
      <tp t="s">
        <v>—</v>
        <stp/>
        <stp>##V3_BDHV12</stp>
        <stp>AMZN US Equity</stp>
        <stp>IS_SELLING_EXPENSES</stp>
        <stp>FQ4 1999</stp>
        <stp>FQ4 1999</stp>
        <stp>[FA1_j2ahgkxc.xlsx]Income - Adjusted!R11C7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1.9245999999999999</v>
        <stp/>
        <stp>##V3_BDHV12</stp>
        <stp>AMZN US Equity</stp>
        <stp>CUR_RATIO</stp>
        <stp>FQ1 2003</stp>
        <stp>FQ1 2003</stp>
        <stp>[FA1_j2ahgkxc.xlsx]Bal Sheet - Standardized!R68C19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8" s="3"/>
      </tp>
      <tp>
        <v>-0.25</v>
        <stp/>
        <stp>##V3_BDHV12</stp>
        <stp>AMZN US Equity</stp>
        <stp>IS_DIL_EPS_BEF_XO</stp>
        <stp>FQ2 2002</stp>
        <stp>FQ2 2002</stp>
        <stp>[FA1_j2ahgkxc.xlsx]Income - Adjusted!R41C16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1" s="2"/>
      </tp>
      <tp>
        <v>0.05</v>
        <stp/>
        <stp>##V3_BDHV12</stp>
        <stp>AMZN US Equity</stp>
        <stp>IS_DIL_EPS_BEF_XO</stp>
        <stp>FQ2 2006</stp>
        <stp>FQ2 2006</stp>
        <stp>[FA1_j2ahgkxc.xlsx]Income - Adjusted!R41C32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1" s="2"/>
      </tp>
      <tp t="s">
        <v>—</v>
        <stp/>
        <stp>##V3_BDHV12</stp>
        <stp>AMZN US Equity</stp>
        <stp>CF_DEF_INC_TAX</stp>
        <stp>FQ1 2004</stp>
        <stp>FQ1 2004</stp>
        <stp>[FA1_j2ahgkxc.xlsx]Cash Flow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4"/>
      </tp>
      <tp>
        <v>126</v>
        <stp/>
        <stp>##V3_BDHV12</stp>
        <stp>AMZN US Equity</stp>
        <stp>CF_DECR_INVEST</stp>
        <stp>FQ4 2005</stp>
        <stp>FQ4 2005</stp>
        <stp>[FA1_j2ahgkxc.xlsx]Cash Flow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4"/>
      </tp>
      <tp t="s">
        <v>—</v>
        <stp/>
        <stp>##V3_BDHV12</stp>
        <stp>AMZN US Equity</stp>
        <stp>CF_DEF_INC_TAX</stp>
        <stp>FQ2 2002</stp>
        <stp>FQ2 2002</stp>
        <stp>[FA1_j2ahgkxc.xlsx]Cash Flow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4"/>
      </tp>
      <tp t="s">
        <v>—</v>
        <stp/>
        <stp>##V3_BDHV12</stp>
        <stp>AMZN US Equity</stp>
        <stp>CF_INCR_INVEST</stp>
        <stp>FQ4 2005</stp>
        <stp>FQ4 2005</stp>
        <stp>[FA1_j2ahgkxc.xlsx]Cash Flow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4"/>
      </tp>
      <tp>
        <v>0</v>
        <stp/>
        <stp>##V3_BDHV12</stp>
        <stp>AMZN US Equity</stp>
        <stp>CF_DECR_INVEST</stp>
        <stp>FQ4 2006</stp>
        <stp>FQ4 2006</stp>
        <stp>[FA1_j2ahgkxc.xlsx]Cash Flow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4"/>
      </tp>
      <tp t="s">
        <v>—</v>
        <stp/>
        <stp>##V3_BDHV12</stp>
        <stp>AMZN US Equity</stp>
        <stp>CF_DEF_INC_TAX</stp>
        <stp>FQ2 2001</stp>
        <stp>FQ2 2001</stp>
        <stp>[FA1_j2ahgkxc.xlsx]Cash Flow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4"/>
      </tp>
      <tp>
        <v>0</v>
        <stp/>
        <stp>##V3_BDHV12</stp>
        <stp>AMZN US Equity</stp>
        <stp>CF_INCR_INVEST</stp>
        <stp>FQ4 2006</stp>
        <stp>FQ4 2006</stp>
        <stp>[FA1_j2ahgkxc.xlsx]Cash Flow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4"/>
      </tp>
      <tp>
        <v>47</v>
        <stp/>
        <stp>##V3_BDHV12</stp>
        <stp>AMZN US Equity</stp>
        <stp>IS_OPER_INC</stp>
        <stp>FQ2 2006</stp>
        <stp>FQ2 2006</stp>
        <stp>[FA1_j2ahgkxc.xlsx]Income - Adjusted!R12C32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2" s="2"/>
      </tp>
      <tp>
        <v>1.472</v>
        <stp/>
        <stp>##V3_BDHV12</stp>
        <stp>AMZN US Equity</stp>
        <stp>IS_OPER_INC</stp>
        <stp>FQ2 2002</stp>
        <stp>FQ2 2002</stp>
        <stp>[FA1_j2ahgkxc.xlsx]Income - Adjusted!R12C16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>
        <v>50</v>
        <stp/>
        <stp>##V3_BDHV12</stp>
        <stp>AMZN US Equity</stp>
        <stp>CF_DEF_INC_TAX</stp>
        <stp>FQ1 2005</stp>
        <stp>FQ1 2005</stp>
        <stp>[FA1_j2ahgkxc.xlsx]Cash Flow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4"/>
      </tp>
      <tp t="s">
        <v>—</v>
        <stp/>
        <stp>##V3_BDHV12</stp>
        <stp>AMZN US Equity</stp>
        <stp>CF_DECR_INVEST</stp>
        <stp>FQ4 2007</stp>
        <stp>FQ4 2007</stp>
        <stp>[FA1_j2ahgkxc.xlsx]Cash Flow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4"/>
      </tp>
      <tp t="s">
        <v>—</v>
        <stp/>
        <stp>##V3_BDHV12</stp>
        <stp>AMZN US Equity</stp>
        <stp>CF_INCR_INVEST</stp>
        <stp>FQ4 2007</stp>
        <stp>FQ4 2007</stp>
        <stp>[FA1_j2ahgkxc.xlsx]Cash Flow - Standardized!R26C38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4"/>
      </tp>
      <tp>
        <v>0</v>
        <stp/>
        <stp>##V3_BDHV12</stp>
        <stp>AMZN US Equity</stp>
        <stp>CF_INCR_INVEST</stp>
        <stp>FQ3 2008</stp>
        <stp>FQ3 2008</stp>
        <stp>[FA1_j2ahgkxc.xlsx]Cash Flow - Standardized!R26C41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4"/>
      </tp>
      <tp>
        <v>0</v>
        <stp/>
        <stp>##V3_BDHV12</stp>
        <stp>AMZN US Equity</stp>
        <stp>CF_DECR_INVEST</stp>
        <stp>FQ3 2008</stp>
        <stp>FQ3 2008</stp>
        <stp>[FA1_j2ahgkxc.xlsx]Cash Flow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4"/>
      </tp>
      <tp>
        <v>93.15</v>
        <stp/>
        <stp>##V3_BDHV12</stp>
        <stp>AMZN US Equity</stp>
        <stp>PX_LAST</stp>
        <stp>FQ3 2007</stp>
        <stp>FQ3 2007</stp>
        <stp>[FA1_j2ahgkxc.xlsx]Stock Value!R6C37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6"/>
      </tp>
      <tp>
        <v>15.93</v>
        <stp/>
        <stp>##V3_BDHV12</stp>
        <stp>AMZN US Equity</stp>
        <stp>PX_LAST</stp>
        <stp>FQ3 2002</stp>
        <stp>FQ3 2002</stp>
        <stp>[FA1_j2ahgkxc.xlsx]Stock Value!R6C17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6"/>
      </tp>
      <tp>
        <v>34.270000000000003</v>
        <stp/>
        <stp>##V3_BDHV12</stp>
        <stp>AMZN US Equity</stp>
        <stp>PX_LAST</stp>
        <stp>FQ1 2005</stp>
        <stp>FQ1 2005</stp>
        <stp>[FA1_j2ahgkxc.xlsx]Stock Value!R6C27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6"/>
      </tp>
      <tp>
        <v>45</v>
        <stp/>
        <stp>##V3_BDHV12</stp>
        <stp>AMZN US Equity</stp>
        <stp>PROC_FR_REPAYMNTS_BOR_DETAILED</stp>
        <stp>FQ2 2006</stp>
        <stp>FQ2 2006</stp>
        <stp>[FA1_j2ahgkxc.xlsx]Cash Flow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4"/>
      </tp>
      <tp>
        <v>-3.4369999999999998</v>
        <stp/>
        <stp>##V3_BDHV12</stp>
        <stp>AMZN US Equity</stp>
        <stp>PROC_FR_REPAYMNTS_BOR_DETAILED</stp>
        <stp>FQ3 2003</stp>
        <stp>FQ3 2003</stp>
        <stp>[FA1_j2ahgkxc.xlsx]Cash Flow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4"/>
      </tp>
      <tp>
        <v>-29</v>
        <stp/>
        <stp>##V3_BDHV12</stp>
        <stp>AMZN US Equity</stp>
        <stp>PROC_FR_REPAYMNTS_BOR_DETAILED</stp>
        <stp>FQ2 2007</stp>
        <stp>FQ2 2007</stp>
        <stp>[FA1_j2ahgkxc.xlsx]Cash Flow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4"/>
      </tp>
      <tp>
        <v>-0.55000000000000004</v>
        <stp/>
        <stp>##V3_BDHV12</stp>
        <stp>AMZN US Equity</stp>
        <stp>PROC_FR_REPAYMNTS_BOR_DETAILED</stp>
        <stp>FQ3 2004</stp>
        <stp>FQ3 2004</stp>
        <stp>[FA1_j2ahgkxc.xlsx]Cash Flow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4"/>
      </tp>
      <tp>
        <v>7</v>
        <stp/>
        <stp>##V3_BDHV12</stp>
        <stp>AMZN US Equity</stp>
        <stp>PROC_FR_REPAYMNTS_BOR_DETAILED</stp>
        <stp>FQ3 2005</stp>
        <stp>FQ3 2005</stp>
        <stp>[FA1_j2ahgkxc.xlsx]Cash Flow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4"/>
      </tp>
      <tp t="s">
        <v>—</v>
        <stp/>
        <stp>##V3_BDHV12</stp>
        <stp>AMZN US Equity</stp>
        <stp>NET_DEBT_TO_SHRHLDR_EQTY</stp>
        <stp>FQ4 2002</stp>
        <stp>FQ4 2002</stp>
        <stp>[FA1_j2ahgkxc.xlsx]Bal Sheet - Standardized!R66C18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6" s="3"/>
      </tp>
      <tp>
        <v>-114.6332</v>
        <stp/>
        <stp>##V3_BDHV12</stp>
        <stp>AMZN US Equity</stp>
        <stp>NET_DEBT_TO_SHRHLDR_EQTY</stp>
        <stp>FQ4 2008</stp>
        <stp>FQ4 2008</stp>
        <stp>[FA1_j2ahgkxc.xlsx]Bal Sheet - Standardized!R66C42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6" s="3"/>
      </tp>
      <tp t="s">
        <v>—</v>
        <stp/>
        <stp>##V3_BDHV12</stp>
        <stp>AMZN US Equity</stp>
        <stp>CF_ACCT_RCV_UNBILLED_REV</stp>
        <stp>FQ3 1999</stp>
        <stp>FQ3 1999</stp>
        <stp>[FA1_j2ahgkxc.xlsx]Cash Flow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4"/>
      </tp>
      <tp t="s">
        <v>—</v>
        <stp/>
        <stp>##V3_BDHV12</stp>
        <stp>AMZN US Equity</stp>
        <stp>CF_ACCT_RCV_UNBILLED_REV</stp>
        <stp>FQ2 1999</stp>
        <stp>FQ2 1999</stp>
        <stp>[FA1_j2ahgkxc.xlsx]Cash Flow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4"/>
      </tp>
      <tp t="s">
        <v>—</v>
        <stp/>
        <stp>##V3_BDHV12</stp>
        <stp>AMZN US Equity</stp>
        <stp>CF_ACCT_RCV_UNBILLED_REV</stp>
        <stp>FQ1 1999</stp>
        <stp>FQ1 1999</stp>
        <stp>[FA1_j2ahgkxc.xlsx]Cash Flow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4"/>
      </tp>
      <tp t="s">
        <v>—</v>
        <stp/>
        <stp>##V3_BDHV12</stp>
        <stp>AMZN US Equity</stp>
        <stp>CF_ACCT_RCV_UNBILLED_REV</stp>
        <stp>FQ4 1999</stp>
        <stp>FQ4 1999</stp>
        <stp>[FA1_j2ahgkxc.xlsx]Cash Flow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4"/>
      </tp>
      <tp>
        <v>0.23</v>
        <stp/>
        <stp>##V3_BDHV12</stp>
        <stp>AMZN US Equity</stp>
        <stp>IS_DIL_EPS_CONT_OPS</stp>
        <stp>FQ4 2006</stp>
        <stp>FQ4 2006</stp>
        <stp>[FA1_j2ahgkxc.xlsx]Per Share!R19C34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9" s="5"/>
      </tp>
      <tp>
        <v>0.35</v>
        <stp/>
        <stp>##V3_BDHV12</stp>
        <stp>AMZN US Equity</stp>
        <stp>IS_DIL_EPS_CONT_OPS</stp>
        <stp>FQ4 2004</stp>
        <stp>FQ4 2004</stp>
        <stp>[FA1_j2ahgkxc.xlsx]Per Share!R19C26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9" s="5"/>
      </tp>
      <tp>
        <v>-0.46</v>
        <stp/>
        <stp>##V3_BDHV12</stp>
        <stp>AMZN US Equity</stp>
        <stp>IS_DIL_EPS_CONT_OPS</stp>
        <stp>FQ3 2001</stp>
        <stp>FQ3 2001</stp>
        <stp>[FA1_j2ahgkxc.xlsx]Per Share!R19C13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9" s="5"/>
      </tp>
      <tp>
        <v>0.11</v>
        <stp/>
        <stp>##V3_BDHV12</stp>
        <stp>AMZN US Equity</stp>
        <stp>IS_DIL_EPS_CONT_OPS</stp>
        <stp>FQ3 2003</stp>
        <stp>FQ3 2003</stp>
        <stp>[FA1_j2ahgkxc.xlsx]Per Share!R19C21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9" s="5"/>
      </tp>
      <tp>
        <v>0.26</v>
        <stp/>
        <stp>##V3_BDHV12</stp>
        <stp>AMZN US Equity</stp>
        <stp>IS_DIL_EPS_CONT_OPS</stp>
        <stp>FQ1 2007</stp>
        <stp>FQ1 2007</stp>
        <stp>[FA1_j2ahgkxc.xlsx]Per Share!R19C35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9" s="5"/>
      </tp>
      <tp>
        <v>0.12</v>
        <stp/>
        <stp>##V3_BDHV12</stp>
        <stp>AMZN US Equity</stp>
        <stp>IS_DIL_EPS_CONT_OPS</stp>
        <stp>FQ1 2005</stp>
        <stp>FQ1 2005</stp>
        <stp>[FA1_j2ahgkxc.xlsx]Per Share!R19C27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9" s="5"/>
      </tp>
      <tp>
        <v>61</v>
        <stp/>
        <stp>##V3_BDHV12</stp>
        <stp>AMZN US Equity</stp>
        <stp>PX_LOW</stp>
        <stp>FQ4 1999</stp>
        <stp>FQ4 1999</stp>
        <stp>[FA1_j2ahgkxc.xlsx]Stock Value!R10C6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0" s="6"/>
      </tp>
      <tp>
        <v>55</v>
        <stp/>
        <stp>##V3_BDHV12</stp>
        <stp>AMZN US Equity</stp>
        <stp>EBIT</stp>
        <stp>FQ3 2005</stp>
        <stp>FQ3 2005</stp>
        <stp>[FA1_j2ahgkxc.xlsx]Income - Adjusted!R49C29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9" s="2"/>
      </tp>
      <tp>
        <v>472.99599999999998</v>
        <stp/>
        <stp>##V3_BDHV12</stp>
        <stp>AMZN US Equity</stp>
        <stp>OTHER_CURRENT_LIABS_DETAILED</stp>
        <stp>FQ4 2000</stp>
        <stp>FQ4 2000</stp>
        <stp>[FA1_j2ahgkxc.xlsx]Bal Sheet - Standardized!R38C10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8" s="3"/>
      </tp>
      <tp>
        <v>461.67399999999998</v>
        <stp/>
        <stp>##V3_BDHV12</stp>
        <stp>AMZN US Equity</stp>
        <stp>OTHER_CURRENT_LIABS_DETAILED</stp>
        <stp>FQ4 2001</stp>
        <stp>FQ4 2001</stp>
        <stp>[FA1_j2ahgkxc.xlsx]Bal Sheet - Standardized!R38C14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8" s="3"/>
      </tp>
      <tp>
        <v>0.28000000000000003</v>
        <stp/>
        <stp>##V3_BDHV12</stp>
        <stp>AMZN US Equity</stp>
        <stp>IS_EARN_BEF_XO_ITEMS_PER_SH</stp>
        <stp>FQ3 2008</stp>
        <stp>FQ3 2008</stp>
        <stp>[FA1_j2ahgkxc.xlsx]Income - Adjusted!R36C41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6" s="2"/>
      </tp>
      <tp>
        <v>0</v>
        <stp/>
        <stp>##V3_BDHV12</stp>
        <stp>AMZN US Equity</stp>
        <stp>IS_FOREIGN_EXCH_LOSS</stp>
        <stp>FQ2 2008</stp>
        <stp>FQ2 2008</stp>
        <stp>[FA1_j2ahgkxc.xlsx]Income - Adjusted!R16C40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6" s="2"/>
      </tp>
      <tp>
        <v>434.512</v>
        <stp/>
        <stp>##V3_BDHV12</stp>
        <stp>AMZN US Equity</stp>
        <stp>OTHER_CURRENT_LIABS_DETAILED</stp>
        <stp>FQ4 2002</stp>
        <stp>FQ4 2002</stp>
        <stp>[FA1_j2ahgkxc.xlsx]Bal Sheet - Standardized!R38C18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8" s="3"/>
      </tp>
      <tp>
        <v>0.81859999999999999</v>
        <stp/>
        <stp>##V3_BDHV12</stp>
        <stp>AMZN US Equity</stp>
        <stp>REVENUE_PER_SH</stp>
        <stp>FQ4 1998</stp>
        <stp>FQ4 1998</stp>
        <stp>[FA1_j2ahgkxc.xlsx]Per Share!R11C3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1" s="5"/>
      </tp>
      <tp>
        <v>0.47</v>
        <stp/>
        <stp>##V3_BDHV12</stp>
        <stp>AMZN US Equity</stp>
        <stp>IS_DIL_EPS_BEF_XO</stp>
        <stp>FQ4 2005</stp>
        <stp>FQ4 2005</stp>
        <stp>[FA1_j2ahgkxc.xlsx]Income - Adjusted!R41C30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1" s="2"/>
      </tp>
      <tp>
        <v>0.01</v>
        <stp/>
        <stp>##V3_BDHV12</stp>
        <stp>AMZN US Equity</stp>
        <stp>IS_DIL_EPS_BEF_XO</stp>
        <stp>FQ4 2001</stp>
        <stp>FQ4 2001</stp>
        <stp>[FA1_j2ahgkxc.xlsx]Income - Adjusted!R41C14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1" s="2"/>
      </tp>
      <tp>
        <v>-0.09</v>
        <stp/>
        <stp>##V3_BDHV12</stp>
        <stp>AMZN US Equity</stp>
        <stp>IS_DIL_EPS_BEF_XO</stp>
        <stp>FQ3 2002</stp>
        <stp>FQ3 2002</stp>
        <stp>[FA1_j2ahgkxc.xlsx]Income - Adjusted!R41C17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1" s="2"/>
      </tp>
      <tp>
        <v>0.05</v>
        <stp/>
        <stp>##V3_BDHV12</stp>
        <stp>AMZN US Equity</stp>
        <stp>IS_DIL_EPS_BEF_XO</stp>
        <stp>FQ3 2006</stp>
        <stp>FQ3 2006</stp>
        <stp>[FA1_j2ahgkxc.xlsx]Income - Adjusted!R41C33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1" s="2"/>
      </tp>
      <tp>
        <v>0.77149999999999996</v>
        <stp/>
        <stp>##V3_BDHV12</stp>
        <stp>AMZN US Equity</stp>
        <stp>BOOK_VAL_PER_SH</stp>
        <stp>FQ4 1999</stp>
        <stp>FQ4 1999</stp>
        <stp>[FA1_j2ahgkxc.xlsx]Per Share!R26C7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6" s="5"/>
      </tp>
      <tp>
        <v>1.409</v>
        <stp/>
        <stp>##V3_BDHV12</stp>
        <stp>AMZN US Equity</stp>
        <stp>CUR_RATIO</stp>
        <stp>FQ3 2008</stp>
        <stp>FQ3 2008</stp>
        <stp>[FA1_j2ahgkxc.xlsx]Bal Sheet - Standardized!R68C41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8" s="3"/>
      </tp>
      <tp>
        <v>1.3171999999999999</v>
        <stp/>
        <stp>##V3_BDHV12</stp>
        <stp>AMZN US Equity</stp>
        <stp>CUR_RATIO</stp>
        <stp>FQ2 2008</stp>
        <stp>FQ2 2008</stp>
        <stp>[FA1_j2ahgkxc.xlsx]Bal Sheet - Standardized!R68C40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8" s="3"/>
      </tp>
      <tp>
        <v>0</v>
        <stp/>
        <stp>##V3_BDHV12</stp>
        <stp>AMZN US Equity</stp>
        <stp>CF_DECR_INVEST</stp>
        <stp>FQ3 2007</stp>
        <stp>FQ3 2007</stp>
        <stp>[FA1_j2ahgkxc.xlsx]Cash Flow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4"/>
      </tp>
      <tp>
        <v>0</v>
        <stp/>
        <stp>##V3_BDHV12</stp>
        <stp>AMZN US Equity</stp>
        <stp>CF_INCR_INVEST</stp>
        <stp>FQ3 2007</stp>
        <stp>FQ3 2007</stp>
        <stp>[FA1_j2ahgkxc.xlsx]Cash Flow - Standardized!R26C37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4"/>
      </tp>
      <tp>
        <v>0</v>
        <stp/>
        <stp>##V3_BDHV12</stp>
        <stp>AMZN US Equity</stp>
        <stp>CF_DECR_INVEST</stp>
        <stp>FQ2 2004</stp>
        <stp>FQ2 2004</stp>
        <stp>[FA1_j2ahgkxc.xlsx]Cash Flow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4"/>
      </tp>
      <tp>
        <v>0</v>
        <stp/>
        <stp>##V3_BDHV12</stp>
        <stp>AMZN US Equity</stp>
        <stp>CF_INCR_INVEST</stp>
        <stp>FQ2 2004</stp>
        <stp>FQ2 2004</stp>
        <stp>[FA1_j2ahgkxc.xlsx]Cash Flow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4"/>
      </tp>
      <tp>
        <v>0</v>
        <stp/>
        <stp>##V3_BDHV12</stp>
        <stp>AMZN US Equity</stp>
        <stp>CF_DECR_INVEST</stp>
        <stp>FQ2 2003</stp>
        <stp>FQ2 2003</stp>
        <stp>[FA1_j2ahgkxc.xlsx]Cash Flow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4"/>
      </tp>
      <tp>
        <v>94.366</v>
        <stp/>
        <stp>##V3_BDHV12</stp>
        <stp>AMZN US Equity</stp>
        <stp>CF_DECR_INVEST</stp>
        <stp>FQ1 2001</stp>
        <stp>FQ1 2001</stp>
        <stp>[FA1_j2ahgkxc.xlsx]Cash Flow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4"/>
      </tp>
      <tp>
        <v>-30.378</v>
        <stp/>
        <stp>##V3_BDHV12</stp>
        <stp>AMZN US Equity</stp>
        <stp>CF_INCR_INVEST</stp>
        <stp>FQ1 2001</stp>
        <stp>FQ1 2001</stp>
        <stp>[FA1_j2ahgkxc.xlsx]Cash Flow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4"/>
      </tp>
      <tp>
        <v>0</v>
        <stp/>
        <stp>##V3_BDHV12</stp>
        <stp>AMZN US Equity</stp>
        <stp>CF_INCR_INVEST</stp>
        <stp>FQ2 2003</stp>
        <stp>FQ2 2003</stp>
        <stp>[FA1_j2ahgkxc.xlsx]Cash Flow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4"/>
      </tp>
      <tp>
        <v>0</v>
        <stp/>
        <stp>##V3_BDHV12</stp>
        <stp>AMZN US Equity</stp>
        <stp>CF_DECR_INVEST</stp>
        <stp>FQ3 2006</stp>
        <stp>FQ3 2006</stp>
        <stp>[FA1_j2ahgkxc.xlsx]Cash Flow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4"/>
      </tp>
      <tp>
        <v>136.57499999999999</v>
        <stp/>
        <stp>##V3_BDHV12</stp>
        <stp>AMZN US Equity</stp>
        <stp>CF_DECR_INVEST</stp>
        <stp>FQ1 2002</stp>
        <stp>FQ1 2002</stp>
        <stp>[FA1_j2ahgkxc.xlsx]Cash Flow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4"/>
      </tp>
      <tp>
        <v>-134.227</v>
        <stp/>
        <stp>##V3_BDHV12</stp>
        <stp>AMZN US Equity</stp>
        <stp>CF_INCR_INVEST</stp>
        <stp>FQ1 2002</stp>
        <stp>FQ1 2002</stp>
        <stp>[FA1_j2ahgkxc.xlsx]Cash Flow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4"/>
      </tp>
      <tp>
        <v>0</v>
        <stp/>
        <stp>##V3_BDHV12</stp>
        <stp>AMZN US Equity</stp>
        <stp>CF_INCR_INVEST</stp>
        <stp>FQ3 2006</stp>
        <stp>FQ3 2006</stp>
        <stp>[FA1_j2ahgkxc.xlsx]Cash Flow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4"/>
      </tp>
      <tp>
        <v>41.823</v>
        <stp/>
        <stp>##V3_BDHV12</stp>
        <stp>AMZN US Equity</stp>
        <stp>IS_OPER_INC</stp>
        <stp>FQ2 2003</stp>
        <stp>FQ2 2003</stp>
        <stp>[FA1_j2ahgkxc.xlsx]Income - Adjusted!R12C20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>
        <v>-81.19</v>
        <stp/>
        <stp>##V3_BDHV12</stp>
        <stp>AMZN US Equity</stp>
        <stp>IS_OPER_INC</stp>
        <stp>FQ2 2001</stp>
        <stp>FQ2 2001</stp>
        <stp>[FA1_j2ahgkxc.xlsx]Income - Adjusted!R12C12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>
        <v>0</v>
        <stp/>
        <stp>##V3_BDHV12</stp>
        <stp>AMZN US Equity</stp>
        <stp>CF_DECR_INVEST</stp>
        <stp>FQ1 2003</stp>
        <stp>FQ1 2003</stp>
        <stp>[FA1_j2ahgkxc.xlsx]Cash Flow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4"/>
      </tp>
      <tp>
        <v>0</v>
        <stp/>
        <stp>##V3_BDHV12</stp>
        <stp>AMZN US Equity</stp>
        <stp>CF_INCR_INVEST</stp>
        <stp>FQ1 2003</stp>
        <stp>FQ1 2003</stp>
        <stp>[FA1_j2ahgkxc.xlsx]Cash Flow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4"/>
      </tp>
      <tp>
        <v>0</v>
        <stp/>
        <stp>##V3_BDHV12</stp>
        <stp>AMZN US Equity</stp>
        <stp>CF_DECR_INVEST</stp>
        <stp>FQ2 2005</stp>
        <stp>FQ2 2005</stp>
        <stp>[FA1_j2ahgkxc.xlsx]Cash Flow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4"/>
      </tp>
      <tp>
        <v>0</v>
        <stp/>
        <stp>##V3_BDHV12</stp>
        <stp>AMZN US Equity</stp>
        <stp>CF_INCR_INVEST</stp>
        <stp>FQ2 2005</stp>
        <stp>FQ2 2005</stp>
        <stp>[FA1_j2ahgkxc.xlsx]Cash Flow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4"/>
      </tp>
      <tp t="s">
        <v>—</v>
        <stp/>
        <stp>##V3_BDHV12</stp>
        <stp>AMZN US Equity</stp>
        <stp>CF_INCR_INVEST</stp>
        <stp>FQ4 2008</stp>
        <stp>FQ4 2008</stp>
        <stp>[FA1_j2ahgkxc.xlsx]Cash Flow - Standardized!R26C42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4"/>
      </tp>
      <tp t="s">
        <v>—</v>
        <stp/>
        <stp>##V3_BDHV12</stp>
        <stp>AMZN US Equity</stp>
        <stp>CF_DECR_INVEST</stp>
        <stp>FQ4 2008</stp>
        <stp>FQ4 2008</stp>
        <stp>[FA1_j2ahgkxc.xlsx]Cash Flow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4"/>
      </tp>
      <tp>
        <v>73.33</v>
        <stp/>
        <stp>##V3_BDHV12</stp>
        <stp>AMZN US Equity</stp>
        <stp>PX_LAST</stp>
        <stp>FQ2 2008</stp>
        <stp>FQ2 2008</stp>
        <stp>[FA1_j2ahgkxc.xlsx]Stock Value!R6C40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6"/>
      </tp>
      <tp>
        <v>36.32</v>
        <stp/>
        <stp>##V3_BDHV12</stp>
        <stp>AMZN US Equity</stp>
        <stp>PX_LAST</stp>
        <stp>FQ2 2003</stp>
        <stp>FQ2 2003</stp>
        <stp>[FA1_j2ahgkxc.xlsx]Stock Value!R6C20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6"/>
      </tp>
      <tp>
        <v>-207.732</v>
        <stp/>
        <stp>##V3_BDHV12</stp>
        <stp>AMZN US Equity</stp>
        <stp>PROC_FR_REPAYMNTS_BOR_DETAILED</stp>
        <stp>FQ4 2003</stp>
        <stp>FQ4 2003</stp>
        <stp>[FA1_j2ahgkxc.xlsx]Cash Flow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4"/>
      </tp>
      <tp>
        <v>-0.55900000000000005</v>
        <stp/>
        <stp>##V3_BDHV12</stp>
        <stp>AMZN US Equity</stp>
        <stp>PROC_FR_REPAYMNTS_BOR_DETAILED</stp>
        <stp>FQ4 2004</stp>
        <stp>FQ4 2004</stp>
        <stp>[FA1_j2ahgkxc.xlsx]Cash Flow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4"/>
      </tp>
      <tp t="s">
        <v>—</v>
        <stp/>
        <stp>##V3_BDHV12</stp>
        <stp>AMZN US Equity</stp>
        <stp>CF_TAX_BENEFIT_FRM_STOCK_OPTIONS</stp>
        <stp>FQ2 1999</stp>
        <stp>FQ2 1999</stp>
        <stp>[FA1_j2ahgkxc.xlsx]Cash Flow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4"/>
      </tp>
      <tp t="s">
        <v>—</v>
        <stp/>
        <stp>##V3_BDHV12</stp>
        <stp>AMZN US Equity</stp>
        <stp>CF_TAX_BENEFIT_FRM_STOCK_OPTIONS</stp>
        <stp>FQ3 1999</stp>
        <stp>FQ3 1999</stp>
        <stp>[FA1_j2ahgkxc.xlsx]Cash Flow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4"/>
      </tp>
      <tp>
        <v>15.563000000000001</v>
        <stp/>
        <stp>##V3_BDHV12</stp>
        <stp>AMZN US Equity</stp>
        <stp>PX_LAST</stp>
        <stp>FQ4 2000</stp>
        <stp>FQ4 2000</stp>
        <stp>[FA1_j2ahgkxc.xlsx]Stock Value!R6C10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6"/>
      </tp>
      <tp>
        <v>47.15</v>
        <stp/>
        <stp>##V3_BDHV12</stp>
        <stp>AMZN US Equity</stp>
        <stp>PX_LAST</stp>
        <stp>FQ4 2005</stp>
        <stp>FQ4 2005</stp>
        <stp>[FA1_j2ahgkxc.xlsx]Stock Value!R6C30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6"/>
      </tp>
      <tp t="s">
        <v>—</v>
        <stp/>
        <stp>##V3_BDHV12</stp>
        <stp>AMZN US Equity</stp>
        <stp>CF_TAX_BENEFIT_FRM_STOCK_OPTIONS</stp>
        <stp>FQ4 1999</stp>
        <stp>FQ4 1999</stp>
        <stp>[FA1_j2ahgkxc.xlsx]Cash Flow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4"/>
      </tp>
      <tp t="s">
        <v>—</v>
        <stp/>
        <stp>##V3_BDHV12</stp>
        <stp>AMZN US Equity</stp>
        <stp>CF_TAX_BENEFIT_FRM_STOCK_OPTIONS</stp>
        <stp>FQ1 1999</stp>
        <stp>FQ1 1999</stp>
        <stp>[FA1_j2ahgkxc.xlsx]Cash Flow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4"/>
      </tp>
      <tp>
        <v>-35</v>
        <stp/>
        <stp>##V3_BDHV12</stp>
        <stp>AMZN US Equity</stp>
        <stp>PROC_FR_REPAYMNTS_BOR_DETAILED</stp>
        <stp>FQ2 2008</stp>
        <stp>FQ2 2008</stp>
        <stp>[FA1_j2ahgkxc.xlsx]Cash Flow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4"/>
      </tp>
      <tp>
        <v>113</v>
        <stp/>
        <stp>##V3_BDHV12</stp>
        <stp>AMZN US Equity</stp>
        <stp>PX_HIGH</stp>
        <stp>FQ4 1999</stp>
        <stp>FQ4 1999</stp>
        <stp>[FA1_j2ahgkxc.xlsx]Stock Value!R9C6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" s="6"/>
      </tp>
      <tp t="s">
        <v>—</v>
        <stp/>
        <stp>##V3_BDHV12</stp>
        <stp>AMZN US Equity</stp>
        <stp>NUM_OF_EMPLOYEES</stp>
        <stp>FQ3 1999</stp>
        <stp>FQ3 1999</stp>
        <stp>[FA1_j2ahgkxc.xlsx]Bal Sheet - Standardized!R70C6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0" s="3"/>
      </tp>
      <tp t="s">
        <v>—</v>
        <stp/>
        <stp>##V3_BDHV12</stp>
        <stp>AMZN US Equity</stp>
        <stp>NUM_OF_EMPLOYEES</stp>
        <stp>FQ1 1999</stp>
        <stp>FQ1 1999</stp>
        <stp>[FA1_j2ahgkxc.xlsx]Bal Sheet - Standardized!R70C4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0" s="3"/>
      </tp>
      <tp>
        <v>0</v>
        <stp/>
        <stp>##V3_BDHV12</stp>
        <stp>AMZN US Equity</stp>
        <stp>BS_NUM_OF_TSY_SH</stp>
        <stp>FQ4 2002</stp>
        <stp>FQ4 2002</stp>
        <stp>[FA1_j2ahgkxc.xlsx]Bal Sheet - Standardized!R60C18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0" s="3"/>
      </tp>
      <tp>
        <v>17</v>
        <stp/>
        <stp>##V3_BDHV12</stp>
        <stp>AMZN US Equity</stp>
        <stp>BS_NUM_OF_TSY_SH</stp>
        <stp>FQ4 2008</stp>
        <stp>FQ4 2008</stp>
        <stp>[FA1_j2ahgkxc.xlsx]Bal Sheet - Standardized!R60C42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0" s="3"/>
      </tp>
      <tp>
        <v>0.09</v>
        <stp/>
        <stp>##V3_BDHV12</stp>
        <stp>AMZN US Equity</stp>
        <stp>IS_DIL_EPS_CONT_OPS</stp>
        <stp>FQ4 2001</stp>
        <stp>FQ4 2001</stp>
        <stp>[FA1_j2ahgkxc.xlsx]Per Share!R19C14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9" s="5"/>
      </tp>
      <tp>
        <v>0.26</v>
        <stp/>
        <stp>##V3_BDHV12</stp>
        <stp>AMZN US Equity</stp>
        <stp>IS_DIL_EPS_CONT_OPS</stp>
        <stp>FQ4 2005</stp>
        <stp>FQ4 2005</stp>
        <stp>[FA1_j2ahgkxc.xlsx]Per Share!R19C30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9" s="5"/>
      </tp>
      <tp>
        <v>0.05</v>
        <stp/>
        <stp>##V3_BDHV12</stp>
        <stp>AMZN US Equity</stp>
        <stp>IS_DIL_EPS_CONT_OPS</stp>
        <stp>FQ3 2006</stp>
        <stp>FQ3 2006</stp>
        <stp>[FA1_j2ahgkxc.xlsx]Per Share!R19C33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9" s="5"/>
      </tp>
      <tp>
        <v>0</v>
        <stp/>
        <stp>##V3_BDHV12</stp>
        <stp>AMZN US Equity</stp>
        <stp>IS_DIL_EPS_CONT_OPS</stp>
        <stp>FQ3 2002</stp>
        <stp>FQ3 2002</stp>
        <stp>[FA1_j2ahgkxc.xlsx]Per Share!R19C17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9" s="5"/>
      </tp>
      <tp>
        <v>485</v>
        <stp/>
        <stp>##V3_BDHV12</stp>
        <stp>AMZN US Equity</stp>
        <stp>OTHER_CURRENT_LIABS_DETAILED</stp>
        <stp>FQ1 2006</stp>
        <stp>FQ1 2006</stp>
        <stp>[FA1_j2ahgkxc.xlsx]Bal Sheet - Standardized!R38C31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8" s="3"/>
      </tp>
      <tp>
        <v>350.34500000000003</v>
        <stp/>
        <stp>##V3_BDHV12</stp>
        <stp>AMZN US Equity</stp>
        <stp>OTHER_CURRENT_LIABS_DETAILED</stp>
        <stp>FQ3 2002</stp>
        <stp>FQ3 2002</stp>
        <stp>[FA1_j2ahgkxc.xlsx]Bal Sheet - Standardized!R38C17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8" s="3"/>
      </tp>
      <tp>
        <v>375.15199999999999</v>
        <stp/>
        <stp>##V3_BDHV12</stp>
        <stp>AMZN US Equity</stp>
        <stp>OTHER_CURRENT_LIABS_DETAILED</stp>
        <stp>FQ3 2001</stp>
        <stp>FQ3 2001</stp>
        <stp>[FA1_j2ahgkxc.xlsx]Bal Sheet - Standardized!R38C13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8" s="3"/>
      </tp>
      <tp>
        <v>781</v>
        <stp/>
        <stp>##V3_BDHV12</stp>
        <stp>AMZN US Equity</stp>
        <stp>OTHER_CURRENT_LIABS_DETAILED</stp>
        <stp>FQ1 2008</stp>
        <stp>FQ1 2008</stp>
        <stp>[FA1_j2ahgkxc.xlsx]Bal Sheet - Standardized!R38C39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8" s="3"/>
      </tp>
      <tp>
        <v>636</v>
        <stp/>
        <stp>##V3_BDHV12</stp>
        <stp>AMZN US Equity</stp>
        <stp>OTHER_CURRENT_LIABS_DETAILED</stp>
        <stp>FQ1 2007</stp>
        <stp>FQ1 2007</stp>
        <stp>[FA1_j2ahgkxc.xlsx]Bal Sheet - Standardized!R38C35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8" s="3"/>
      </tp>
      <tp>
        <v>0</v>
        <stp/>
        <stp>##V3_BDHV12</stp>
        <stp>AMZN US Equity</stp>
        <stp>IS_FOREIGN_EXCH_LOSS</stp>
        <stp>FQ4 2007</stp>
        <stp>FQ4 2007</stp>
        <stp>[FA1_j2ahgkxc.xlsx]Income - Adjusted!R16C38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6" s="2"/>
      </tp>
      <tp>
        <v>0</v>
        <stp/>
        <stp>##V3_BDHV12</stp>
        <stp>AMZN US Equity</stp>
        <stp>EQY_DPS</stp>
        <stp>FQ4 1998</stp>
        <stp>FQ4 1998</stp>
        <stp>[FA1_j2ahgkxc.xlsx]Per Share!R20C3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0" s="5"/>
      </tp>
      <tp t="s">
        <v>—</v>
        <stp/>
        <stp>##V3_BDHV12</stp>
        <stp>AMZN US Equity</stp>
        <stp>IS_SELLING_EXPENSES</stp>
        <stp>FQ1 1999</stp>
        <stp>FQ1 1999</stp>
        <stp>[FA1_j2ahgkxc.xlsx]Income - Adjusted!R11C4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 t="s">
        <v>—</v>
        <stp/>
        <stp>##V3_BDHV12</stp>
        <stp>AMZN US Equity</stp>
        <stp>IS_SELLING_EXPENSES</stp>
        <stp>FQ3 1999</stp>
        <stp>FQ3 1999</stp>
        <stp>[FA1_j2ahgkxc.xlsx]Income - Adjusted!R11C6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>
        <v>0.82</v>
        <stp/>
        <stp>##V3_BDHV12</stp>
        <stp>AMZN US Equity</stp>
        <stp>IS_DIL_EPS_BEF_XO</stp>
        <stp>FQ4 2004</stp>
        <stp>FQ4 2004</stp>
        <stp>[FA1_j2ahgkxc.xlsx]Income - Adjusted!R41C26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1" s="2"/>
      </tp>
      <tp>
        <v>0.23</v>
        <stp/>
        <stp>##V3_BDHV12</stp>
        <stp>AMZN US Equity</stp>
        <stp>IS_DIL_EPS_BEF_XO</stp>
        <stp>FQ4 2006</stp>
        <stp>FQ4 2006</stp>
        <stp>[FA1_j2ahgkxc.xlsx]Income - Adjusted!R41C34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1" s="2"/>
      </tp>
      <tp>
        <v>0.12</v>
        <stp/>
        <stp>##V3_BDHV12</stp>
        <stp>AMZN US Equity</stp>
        <stp>IS_DIL_EPS_BEF_XO</stp>
        <stp>FQ1 2005</stp>
        <stp>FQ1 2005</stp>
        <stp>[FA1_j2ahgkxc.xlsx]Income - Adjusted!R41C27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1" s="2"/>
      </tp>
      <tp>
        <v>0.26</v>
        <stp/>
        <stp>##V3_BDHV12</stp>
        <stp>AMZN US Equity</stp>
        <stp>IS_DIL_EPS_BEF_XO</stp>
        <stp>FQ1 2007</stp>
        <stp>FQ1 2007</stp>
        <stp>[FA1_j2ahgkxc.xlsx]Income - Adjusted!R41C35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1" s="2"/>
      </tp>
      <tp>
        <v>-0.46</v>
        <stp/>
        <stp>##V3_BDHV12</stp>
        <stp>AMZN US Equity</stp>
        <stp>IS_DIL_EPS_BEF_XO</stp>
        <stp>FQ3 2001</stp>
        <stp>FQ3 2001</stp>
        <stp>[FA1_j2ahgkxc.xlsx]Income - Adjusted!R41C13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1" s="2"/>
      </tp>
      <tp>
        <v>0.04</v>
        <stp/>
        <stp>##V3_BDHV12</stp>
        <stp>AMZN US Equity</stp>
        <stp>IS_DIL_EPS_BEF_XO</stp>
        <stp>FQ3 2003</stp>
        <stp>FQ3 2003</stp>
        <stp>[FA1_j2ahgkxc.xlsx]Income - Adjusted!R41C21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1" s="2"/>
      </tp>
      <tp t="s">
        <v>—</v>
        <stp/>
        <stp>##V3_BDHV12</stp>
        <stp>AMZN US Equity</stp>
        <stp>CF_NET_CASH_PAID_FOR_AQUIS</stp>
        <stp>FQ2 2000</stp>
        <stp>FQ2 2000</stp>
        <stp>[FA1_j2ahgkxc.xlsx]Cash Flow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4"/>
      </tp>
      <tp t="s">
        <v>—</v>
        <stp/>
        <stp>##V3_BDHV12</stp>
        <stp>AMZN US Equity</stp>
        <stp>CF_NET_CASH_PAID_FOR_AQUIS</stp>
        <stp>FQ3 2000</stp>
        <stp>FQ3 2000</stp>
        <stp>[FA1_j2ahgkxc.xlsx]Cash Flow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4"/>
      </tp>
      <tp>
        <v>0</v>
        <stp/>
        <stp>##V3_BDHV12</stp>
        <stp>AMZN US Equity</stp>
        <stp>CF_DECR_INVEST</stp>
        <stp>FQ2 2007</stp>
        <stp>FQ2 2007</stp>
        <stp>[FA1_j2ahgkxc.xlsx]Cash Flow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4"/>
      </tp>
      <tp t="s">
        <v>—</v>
        <stp/>
        <stp>##V3_BDHV12</stp>
        <stp>AMZN US Equity</stp>
        <stp>CF_DEF_INC_TAX</stp>
        <stp>FQ4 2000</stp>
        <stp>FQ4 2000</stp>
        <stp>[FA1_j2ahgkxc.xlsx]Cash Flow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4"/>
      </tp>
      <tp>
        <v>0</v>
        <stp/>
        <stp>##V3_BDHV12</stp>
        <stp>AMZN US Equity</stp>
        <stp>CF_INCR_INVEST</stp>
        <stp>FQ2 2007</stp>
        <stp>FQ2 2007</stp>
        <stp>[FA1_j2ahgkxc.xlsx]Cash Flow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4"/>
      </tp>
      <tp>
        <v>0</v>
        <stp/>
        <stp>##V3_BDHV12</stp>
        <stp>AMZN US Equity</stp>
        <stp>CF_DECR_INVEST</stp>
        <stp>FQ3 2004</stp>
        <stp>FQ3 2004</stp>
        <stp>[FA1_j2ahgkxc.xlsx]Cash Flow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4"/>
      </tp>
      <tp>
        <v>0</v>
        <stp/>
        <stp>##V3_BDHV12</stp>
        <stp>AMZN US Equity</stp>
        <stp>CF_INCR_INVEST</stp>
        <stp>FQ3 2004</stp>
        <stp>FQ3 2004</stp>
        <stp>[FA1_j2ahgkxc.xlsx]Cash Flow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4"/>
      </tp>
      <tp>
        <v>0</v>
        <stp/>
        <stp>##V3_BDHV12</stp>
        <stp>AMZN US Equity</stp>
        <stp>CF_DECR_INVEST</stp>
        <stp>FQ3 2003</stp>
        <stp>FQ3 2003</stp>
        <stp>[FA1_j2ahgkxc.xlsx]Cash Flow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4"/>
      </tp>
      <tp>
        <v>0</v>
        <stp/>
        <stp>##V3_BDHV12</stp>
        <stp>AMZN US Equity</stp>
        <stp>CF_INCR_INVEST</stp>
        <stp>FQ3 2003</stp>
        <stp>FQ3 2003</stp>
        <stp>[FA1_j2ahgkxc.xlsx]Cash Flow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4"/>
      </tp>
      <tp>
        <v>0</v>
        <stp/>
        <stp>##V3_BDHV12</stp>
        <stp>AMZN US Equity</stp>
        <stp>CF_DECR_INVEST</stp>
        <stp>FQ2 2006</stp>
        <stp>FQ2 2006</stp>
        <stp>[FA1_j2ahgkxc.xlsx]Cash Flow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4"/>
      </tp>
      <tp t="s">
        <v>—</v>
        <stp/>
        <stp>##V3_BDHV12</stp>
        <stp>AMZN US Equity</stp>
        <stp>CF_DEF_INC_TAX</stp>
        <stp>FQ4 2001</stp>
        <stp>FQ4 2001</stp>
        <stp>[FA1_j2ahgkxc.xlsx]Cash Flow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4"/>
      </tp>
      <tp>
        <v>0</v>
        <stp/>
        <stp>##V3_BDHV12</stp>
        <stp>AMZN US Equity</stp>
        <stp>CF_INCR_INVEST</stp>
        <stp>FQ2 2006</stp>
        <stp>FQ2 2006</stp>
        <stp>[FA1_j2ahgkxc.xlsx]Cash Flow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4"/>
      </tp>
      <tp>
        <v>108</v>
        <stp/>
        <stp>##V3_BDHV12</stp>
        <stp>AMZN US Equity</stp>
        <stp>IS_OPER_INC</stp>
        <stp>FQ1 2005</stp>
        <stp>FQ1 2005</stp>
        <stp>[FA1_j2ahgkxc.xlsx]Income - Adjusted!R12C27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145</v>
        <stp/>
        <stp>##V3_BDHV12</stp>
        <stp>AMZN US Equity</stp>
        <stp>IS_OPER_INC</stp>
        <stp>FQ1 2007</stp>
        <stp>FQ1 2007</stp>
        <stp>[FA1_j2ahgkxc.xlsx]Income - Adjusted!R12C35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2" s="2"/>
      </tp>
      <tp>
        <v>-66.34</v>
        <stp/>
        <stp>##V3_BDHV12</stp>
        <stp>AMZN US Equity</stp>
        <stp>IS_OPER_INC</stp>
        <stp>FQ3 2001</stp>
        <stp>FQ3 2001</stp>
        <stp>[FA1_j2ahgkxc.xlsx]Income - Adjusted!R12C13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>
        <v>51.930999999999997</v>
        <stp/>
        <stp>##V3_BDHV12</stp>
        <stp>AMZN US Equity</stp>
        <stp>IS_OPER_INC</stp>
        <stp>FQ3 2003</stp>
        <stp>FQ3 2003</stp>
        <stp>[FA1_j2ahgkxc.xlsx]Income - Adjusted!R12C21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169.59200000000001</v>
        <stp/>
        <stp>##V3_BDHV12</stp>
        <stp>AMZN US Equity</stp>
        <stp>IS_OPER_INC</stp>
        <stp>FQ4 2004</stp>
        <stp>FQ4 2004</stp>
        <stp>[FA1_j2ahgkxc.xlsx]Income - Adjusted!R12C26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196</v>
        <stp/>
        <stp>##V3_BDHV12</stp>
        <stp>AMZN US Equity</stp>
        <stp>IS_OPER_INC</stp>
        <stp>FQ4 2006</stp>
        <stp>FQ4 2006</stp>
        <stp>[FA1_j2ahgkxc.xlsx]Income - Adjusted!R12C34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2" s="2"/>
      </tp>
      <tp>
        <v>349.959</v>
        <stp/>
        <stp>##V3_BDHV12</stp>
        <stp>AMZN US Equity</stp>
        <stp>BS_SH_OUT</stp>
        <stp>FQ1 2000</stp>
        <stp>FQ1 2000</stp>
        <stp>[FA1_j2ahgkxc.xlsx]Per Share!R6C8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5"/>
      </tp>
      <tp t="s">
        <v>—</v>
        <stp/>
        <stp>##V3_BDHV12</stp>
        <stp>AMZN US Equity</stp>
        <stp>CF_DEF_INC_TAX</stp>
        <stp>FQ4 2002</stp>
        <stp>FQ4 2002</stp>
        <stp>[FA1_j2ahgkxc.xlsx]Cash Flow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4"/>
      </tp>
      <tp t="s">
        <v>—</v>
        <stp/>
        <stp>##V3_BDHV12</stp>
        <stp>AMZN US Equity</stp>
        <stp>CF_NET_CASH_PAID_FOR_AQUIS</stp>
        <stp>FQ1 2000</stp>
        <stp>FQ1 2000</stp>
        <stp>[FA1_j2ahgkxc.xlsx]Cash Flow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4"/>
      </tp>
      <tp>
        <v>0</v>
        <stp/>
        <stp>##V3_BDHV12</stp>
        <stp>AMZN US Equity</stp>
        <stp>CF_DECR_INVEST</stp>
        <stp>FQ3 2005</stp>
        <stp>FQ3 2005</stp>
        <stp>[FA1_j2ahgkxc.xlsx]Cash Flow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4"/>
      </tp>
      <tp>
        <v>0</v>
        <stp/>
        <stp>##V3_BDHV12</stp>
        <stp>AMZN US Equity</stp>
        <stp>CF_INCR_INVEST</stp>
        <stp>FQ3 2005</stp>
        <stp>FQ3 2005</stp>
        <stp>[FA1_j2ahgkxc.xlsx]Cash Flow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4"/>
      </tp>
      <tp>
        <v>72.760000000000005</v>
        <stp/>
        <stp>##V3_BDHV12</stp>
        <stp>AMZN US Equity</stp>
        <stp>PX_LAST</stp>
        <stp>FQ3 2008</stp>
        <stp>FQ3 2008</stp>
        <stp>[FA1_j2ahgkxc.xlsx]Stock Value!R6C41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6"/>
      </tp>
      <tp>
        <v>48.43</v>
        <stp/>
        <stp>##V3_BDHV12</stp>
        <stp>AMZN US Equity</stp>
        <stp>PX_LAST</stp>
        <stp>FQ3 2003</stp>
        <stp>FQ3 2003</stp>
        <stp>[FA1_j2ahgkxc.xlsx]Stock Value!R6C21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6"/>
      </tp>
      <tp>
        <v>36.53</v>
        <stp/>
        <stp>##V3_BDHV12</stp>
        <stp>AMZN US Equity</stp>
        <stp>PX_LAST</stp>
        <stp>FQ1 2006</stp>
        <stp>FQ1 2006</stp>
        <stp>[FA1_j2ahgkxc.xlsx]Stock Value!R6C31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6"/>
      </tp>
      <tp>
        <v>10.23</v>
        <stp/>
        <stp>##V3_BDHV12</stp>
        <stp>AMZN US Equity</stp>
        <stp>PX_LAST</stp>
        <stp>FQ1 2001</stp>
        <stp>FQ1 2001</stp>
        <stp>[FA1_j2ahgkxc.xlsx]Stock Value!R6C11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6"/>
      </tp>
      <tp>
        <v>9</v>
        <stp/>
        <stp>##V3_BDHV12</stp>
        <stp>AMZN US Equity</stp>
        <stp>PROC_FR_REPAYMNTS_BOR_DETAILED</stp>
        <stp>FQ4 2006</stp>
        <stp>FQ4 2006</stp>
        <stp>[FA1_j2ahgkxc.xlsx]Cash Flow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4"/>
      </tp>
      <tp>
        <v>1</v>
        <stp/>
        <stp>##V3_BDHV12</stp>
        <stp>AMZN US Equity</stp>
        <stp>PROC_FR_REPAYMNTS_BOR_DETAILED</stp>
        <stp>FQ4 2005</stp>
        <stp>FQ4 2005</stp>
        <stp>[FA1_j2ahgkxc.xlsx]Cash Flow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4"/>
      </tp>
      <tp>
        <v>-8</v>
        <stp/>
        <stp>##V3_BDHV12</stp>
        <stp>AMZN US Equity</stp>
        <stp>PROC_FR_REPAYMNTS_BOR_DETAILED</stp>
        <stp>FQ4 2007</stp>
        <stp>FQ4 2007</stp>
        <stp>[FA1_j2ahgkxc.xlsx]Cash Flow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4"/>
      </tp>
      <tp>
        <v>-295</v>
        <stp/>
        <stp>##V3_BDHV12</stp>
        <stp>AMZN US Equity</stp>
        <stp>PROC_FR_REPAYMNTS_BOR_DETAILED</stp>
        <stp>FQ3 2008</stp>
        <stp>FQ3 2008</stp>
        <stp>[FA1_j2ahgkxc.xlsx]Cash Flow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4"/>
      </tp>
      <tp>
        <v>-45.582000000000001</v>
        <stp/>
        <stp>##V3_BDHV12</stp>
        <stp>AMZN US Equity</stp>
        <stp>EBITDA</stp>
        <stp>FQ3 2000</stp>
        <stp>FQ3 2000</stp>
        <stp>[FA1_j2ahgkxc.xlsx]Cash Flow - Standardized!R45C9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5" s="4"/>
      </tp>
      <tp t="s">
        <v>—</v>
        <stp/>
        <stp>##V3_BDHV12</stp>
        <stp>AMZN US Equity</stp>
        <stp>EBITDA</stp>
        <stp>FQ2 2000</stp>
        <stp>FQ2 2000</stp>
        <stp>[FA1_j2ahgkxc.xlsx]Cash Flow - Standardized!R45C8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5" s="4"/>
      </tp>
      <tp>
        <v>0</v>
        <stp/>
        <stp>##V3_BDHV12</stp>
        <stp>AMZN US Equity</stp>
        <stp>BS_NUM_OF_TSY_SH</stp>
        <stp>FQ2 2005</stp>
        <stp>FQ2 2005</stp>
        <stp>[FA1_j2ahgkxc.xlsx]Bal Sheet - Standardized!R60C28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0" s="3"/>
      </tp>
      <tp>
        <v>0</v>
        <stp/>
        <stp>##V3_BDHV12</stp>
        <stp>AMZN US Equity</stp>
        <stp>BS_NUM_OF_TSY_SH</stp>
        <stp>FQ3 2005</stp>
        <stp>FQ3 2005</stp>
        <stp>[FA1_j2ahgkxc.xlsx]Bal Sheet - Standardized!R60C29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0" s="3"/>
      </tp>
      <tp>
        <v>278.08699999999999</v>
        <stp/>
        <stp>##V3_BDHV12</stp>
        <stp>AMZN US Equity</stp>
        <stp>BS_MKT_SEC_OTHER_ST_INVEST</stp>
        <stp>FQ4 2000</stp>
        <stp>FQ4 2000</stp>
        <stp>[FA1_j2ahgkxc.xlsx]Bal Sheet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3"/>
      </tp>
      <tp>
        <v>553.14099999999996</v>
        <stp/>
        <stp>##V3_BDHV12</stp>
        <stp>AMZN US Equity</stp>
        <stp>BS_MKT_SEC_OTHER_ST_INVEST</stp>
        <stp>FQ2 2002</stp>
        <stp>FQ2 2002</stp>
        <stp>[FA1_j2ahgkxc.xlsx]Bal Sheet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3"/>
      </tp>
      <tp>
        <v>538.23800000000006</v>
        <stp/>
        <stp>##V3_BDHV12</stp>
        <stp>AMZN US Equity</stp>
        <stp>BS_MKT_SEC_OTHER_ST_INVEST</stp>
        <stp>FQ3 2002</stp>
        <stp>FQ3 2002</stp>
        <stp>[FA1_j2ahgkxc.xlsx]Bal Sheet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3"/>
      </tp>
      <tp>
        <v>448.56900000000002</v>
        <stp/>
        <stp>##V3_BDHV12</stp>
        <stp>AMZN US Equity</stp>
        <stp>BS_MKT_SEC_OTHER_ST_INVEST</stp>
        <stp>FQ1 2002</stp>
        <stp>FQ1 2002</stp>
        <stp>[FA1_j2ahgkxc.xlsx]Bal Sheet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3"/>
      </tp>
      <tp>
        <v>456.303</v>
        <stp/>
        <stp>##V3_BDHV12</stp>
        <stp>AMZN US Equity</stp>
        <stp>BS_MKT_SEC_OTHER_ST_INVEST</stp>
        <stp>FQ4 2001</stp>
        <stp>FQ4 2001</stp>
        <stp>[FA1_j2ahgkxc.xlsx]Bal Sheet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3"/>
      </tp>
      <tp>
        <v>196.029</v>
        <stp/>
        <stp>##V3_BDHV12</stp>
        <stp>AMZN US Equity</stp>
        <stp>BS_MKT_SEC_OTHER_ST_INVEST</stp>
        <stp>FQ1 2001</stp>
        <stp>FQ1 2001</stp>
        <stp>[FA1_j2ahgkxc.xlsx]Bal Sheet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3"/>
      </tp>
      <tp>
        <v>235.79300000000001</v>
        <stp/>
        <stp>##V3_BDHV12</stp>
        <stp>AMZN US Equity</stp>
        <stp>BS_MKT_SEC_OTHER_ST_INVEST</stp>
        <stp>FQ3 2001</stp>
        <stp>FQ3 2001</stp>
        <stp>[FA1_j2ahgkxc.xlsx]Bal Sheet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3"/>
      </tp>
      <tp>
        <v>146.02000000000001</v>
        <stp/>
        <stp>##V3_BDHV12</stp>
        <stp>AMZN US Equity</stp>
        <stp>BS_MKT_SEC_OTHER_ST_INVEST</stp>
        <stp>FQ2 2001</stp>
        <stp>FQ2 2001</stp>
        <stp>[FA1_j2ahgkxc.xlsx]Bal Sheet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3"/>
      </tp>
      <tp>
        <v>-0.9</v>
        <stp/>
        <stp>##V3_BDHV12</stp>
        <stp>AMZN US Equity</stp>
        <stp>IS_EARN_BEF_XO_ITEMS_PER_SH</stp>
        <stp>FQ1 2000</stp>
        <stp>FQ1 2000</stp>
        <stp>[FA1_j2ahgkxc.xlsx]Income - Adjusted!R36C8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6" s="2"/>
      </tp>
      <tp>
        <v>562.71500000000003</v>
        <stp/>
        <stp>##V3_BDHV12</stp>
        <stp>AMZN US Equity</stp>
        <stp>BS_MKT_SEC_OTHER_ST_INVEST</stp>
        <stp>FQ4 2002</stp>
        <stp>FQ4 2002</stp>
        <stp>[FA1_j2ahgkxc.xlsx]Bal Sheet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3"/>
      </tp>
      <tp>
        <v>586.779</v>
        <stp/>
        <stp>##V3_BDHV12</stp>
        <stp>AMZN US Equity</stp>
        <stp>BS_MKT_SEC_OTHER_ST_INVEST</stp>
        <stp>FQ1 2003</stp>
        <stp>FQ1 2003</stp>
        <stp>[FA1_j2ahgkxc.xlsx]Bal Sheet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3"/>
      </tp>
      <tp>
        <v>0.05</v>
        <stp/>
        <stp>##V3_BDHV12</stp>
        <stp>AMZN US Equity</stp>
        <stp>IS_DIL_EPS_CONT_OPS</stp>
        <stp>FQ2 2006</stp>
        <stp>FQ2 2006</stp>
        <stp>[FA1_j2ahgkxc.xlsx]Per Share!R19C32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9" s="5"/>
      </tp>
      <tp>
        <v>-0.01</v>
        <stp/>
        <stp>##V3_BDHV12</stp>
        <stp>AMZN US Equity</stp>
        <stp>IS_DIL_EPS_CONT_OPS</stp>
        <stp>FQ2 2002</stp>
        <stp>FQ2 2002</stp>
        <stp>[FA1_j2ahgkxc.xlsx]Per Share!R19C16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9" s="5"/>
      </tp>
      <tp>
        <v>0</v>
        <stp/>
        <stp>##V3_BDHV12</stp>
        <stp>AMZN US Equity</stp>
        <stp>CF_DVD_PAID</stp>
        <stp>FQ4 1999</stp>
        <stp>FQ4 1999</stp>
        <stp>[FA1_j2ahgkxc.xlsx]Cash Flow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4"/>
      </tp>
      <tp>
        <v>0</v>
        <stp/>
        <stp>##V3_BDHV12</stp>
        <stp>AMZN US Equity</stp>
        <stp>CF_DVD_PAID</stp>
        <stp>FQ1 1999</stp>
        <stp>FQ1 1999</stp>
        <stp>[FA1_j2ahgkxc.xlsx]Cash Flow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4"/>
      </tp>
      <tp>
        <v>0</v>
        <stp/>
        <stp>##V3_BDHV12</stp>
        <stp>AMZN US Equity</stp>
        <stp>CF_DVD_PAID</stp>
        <stp>FQ3 1999</stp>
        <stp>FQ3 1999</stp>
        <stp>[FA1_j2ahgkxc.xlsx]Cash Flow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4"/>
      </tp>
      <tp>
        <v>0</v>
        <stp/>
        <stp>##V3_BDHV12</stp>
        <stp>AMZN US Equity</stp>
        <stp>CF_DVD_PAID</stp>
        <stp>FQ2 1999</stp>
        <stp>FQ2 1999</stp>
        <stp>[FA1_j2ahgkxc.xlsx]Cash Flow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4"/>
      </tp>
      <tp>
        <v>272</v>
        <stp/>
        <stp>##V3_BDHV12</stp>
        <stp>AMZN US Equity</stp>
        <stp>EBIT</stp>
        <stp>FQ4 2008</stp>
        <stp>FQ4 2008</stp>
        <stp>[FA1_j2ahgkxc.xlsx]Income - Adjusted!R49C42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9" s="2"/>
      </tp>
      <tp>
        <v>65.364999999999995</v>
        <stp/>
        <stp>##V3_BDHV12</stp>
        <stp>AMZN US Equity</stp>
        <stp>EBIT</stp>
        <stp>FQ4 2002</stp>
        <stp>FQ4 2002</stp>
        <stp>[FA1_j2ahgkxc.xlsx]Income - Adjusted!R49C18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9" s="2"/>
      </tp>
      <tp>
        <v>39.225000000000001</v>
        <stp/>
        <stp>##V3_BDHV12</stp>
        <stp>AMZN US Equity</stp>
        <stp>EBIT</stp>
        <stp>FQ1 2003</stp>
        <stp>FQ1 2003</stp>
        <stp>[FA1_j2ahgkxc.xlsx]Income - Adjusted!R49C19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9" s="2"/>
      </tp>
      <tp>
        <v>295.875</v>
        <stp/>
        <stp>##V3_BDHV12</stp>
        <stp>AMZN US Equity</stp>
        <stp>OTHER_CURRENT_LIABS_DETAILED</stp>
        <stp>FQ1 2004</stp>
        <stp>FQ1 2004</stp>
        <stp>[FA1_j2ahgkxc.xlsx]Bal Sheet - Standardized!R38C23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8" s="3"/>
      </tp>
      <tp>
        <v>349.75799999999998</v>
        <stp/>
        <stp>##V3_BDHV12</stp>
        <stp>AMZN US Equity</stp>
        <stp>OTHER_CURRENT_LIABS_DETAILED</stp>
        <stp>FQ2 2002</stp>
        <stp>FQ2 2002</stp>
        <stp>[FA1_j2ahgkxc.xlsx]Bal Sheet - Standardized!R38C16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8" s="3"/>
      </tp>
      <tp>
        <v>371.92700000000002</v>
        <stp/>
        <stp>##V3_BDHV12</stp>
        <stp>AMZN US Equity</stp>
        <stp>OTHER_CURRENT_LIABS_DETAILED</stp>
        <stp>FQ2 2001</stp>
        <stp>FQ2 2001</stp>
        <stp>[FA1_j2ahgkxc.xlsx]Bal Sheet - Standardized!R38C12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8" s="3"/>
      </tp>
      <tp>
        <v>0.5</v>
        <stp/>
        <stp>##V3_BDHV12</stp>
        <stp>AMZN US Equity</stp>
        <stp>IS_EARN_BEF_XO_ITEMS_PER_SH</stp>
        <stp>FQ4 2007</stp>
        <stp>FQ4 2007</stp>
        <stp>[FA1_j2ahgkxc.xlsx]Income - Adjusted!R36C38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6" s="2"/>
      </tp>
      <tp>
        <v>367</v>
        <stp/>
        <stp>##V3_BDHV12</stp>
        <stp>AMZN US Equity</stp>
        <stp>OTHER_CURRENT_LIABS_DETAILED</stp>
        <stp>FQ1 2005</stp>
        <stp>FQ1 2005</stp>
        <stp>[FA1_j2ahgkxc.xlsx]Bal Sheet - Standardized!R38C27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8" s="3"/>
      </tp>
      <tp>
        <v>0</v>
        <stp/>
        <stp>##V3_BDHV12</stp>
        <stp>AMZN US Equity</stp>
        <stp>EQY_DPS</stp>
        <stp>FQ2 1999</stp>
        <stp>FQ2 1999</stp>
        <stp>[FA1_j2ahgkxc.xlsx]Per Share!R20C5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0" s="5"/>
      </tp>
      <tp>
        <v>89.811000000000007</v>
        <stp/>
        <stp>##V3_BDHV12</stp>
        <stp>AMZN US Equity</stp>
        <stp>OTHER_CURRENT_ASSETS_DETAILED</stp>
        <stp>FQ1 2000</stp>
        <stp>FQ1 2000</stp>
        <stp>[FA1_j2ahgkxc.xlsx]Bal Sheet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99.180999999999997</v>
        <stp/>
        <stp>##V3_BDHV12</stp>
        <stp>AMZN US Equity</stp>
        <stp>OTHER_CURRENT_ASSETS_DETAILED</stp>
        <stp>FQ3 2000</stp>
        <stp>FQ3 2000</stp>
        <stp>[FA1_j2ahgkxc.xlsx]Bal Sheet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-0.11</v>
        <stp/>
        <stp>##V3_BDHV12</stp>
        <stp>AMZN US Equity</stp>
        <stp>IS_DIL_EPS_BEF_XO</stp>
        <stp>FQ2 2003</stp>
        <stp>FQ2 2003</stp>
        <stp>[FA1_j2ahgkxc.xlsx]Income - Adjusted!R41C20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1" s="2"/>
      </tp>
      <tp>
        <v>-0.47</v>
        <stp/>
        <stp>##V3_BDHV12</stp>
        <stp>AMZN US Equity</stp>
        <stp>IS_DIL_EPS_BEF_XO</stp>
        <stp>FQ2 2001</stp>
        <stp>FQ2 2001</stp>
        <stp>[FA1_j2ahgkxc.xlsx]Income - Adjusted!R41C12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1" s="2"/>
      </tp>
      <tp>
        <v>1.2322</v>
        <stp/>
        <stp>##V3_BDHV12</stp>
        <stp>AMZN US Equity</stp>
        <stp>BOOK_VAL_PER_SH</stp>
        <stp>FQ3 1999</stp>
        <stp>FQ3 1999</stp>
        <stp>[FA1_j2ahgkxc.xlsx]Per Share!R26C6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6" s="5"/>
      </tp>
      <tp>
        <v>0.2402</v>
        <stp/>
        <stp>##V3_BDHV12</stp>
        <stp>AMZN US Equity</stp>
        <stp>BOOK_VAL_PER_SH</stp>
        <stp>FQ1 1999</stp>
        <stp>FQ1 1999</stp>
        <stp>[FA1_j2ahgkxc.xlsx]Per Share!R26C4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6" s="5"/>
      </tp>
      <tp t="s">
        <v>—</v>
        <stp/>
        <stp>##V3_BDHV12</stp>
        <stp>AMZN US Equity</stp>
        <stp>LONG_TERM_BORROWINGS_DETAILED</stp>
        <stp>FQ1 2000</stp>
        <stp>FQ1 2000</stp>
        <stp>[FA1_j2ahgkxc.xlsx]Bal Sheet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3"/>
      </tp>
      <tp t="s">
        <v>—</v>
        <stp/>
        <stp>##V3_BDHV12</stp>
        <stp>AMZN US Equity</stp>
        <stp>LONG_TERM_BORROWINGS_DETAILED</stp>
        <stp>FQ3 2000</stp>
        <stp>FQ3 2000</stp>
        <stp>[FA1_j2ahgkxc.xlsx]Bal Sheet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3"/>
      </tp>
      <tp>
        <v>0</v>
        <stp/>
        <stp>##V3_BDHV12</stp>
        <stp>AMZN US Equity</stp>
        <stp>CF_DECR_INVEST</stp>
        <stp>FQ1 2007</stp>
        <stp>FQ1 2007</stp>
        <stp>[FA1_j2ahgkxc.xlsx]Cash Flow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4"/>
      </tp>
      <tp>
        <v>0</v>
        <stp/>
        <stp>##V3_BDHV12</stp>
        <stp>AMZN US Equity</stp>
        <stp>CF_INCR_INVEST</stp>
        <stp>FQ1 2007</stp>
        <stp>FQ1 2007</stp>
        <stp>[FA1_j2ahgkxc.xlsx]Cash Flow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4"/>
      </tp>
      <tp t="s">
        <v>—</v>
        <stp/>
        <stp>##V3_BDHV12</stp>
        <stp>AMZN US Equity</stp>
        <stp>CF_DEF_INC_TAX</stp>
        <stp>FQ4 2003</stp>
        <stp>FQ4 2003</stp>
        <stp>[FA1_j2ahgkxc.xlsx]Cash Flow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4"/>
      </tp>
      <tp t="s">
        <v>—</v>
        <stp/>
        <stp>##V3_BDHV12</stp>
        <stp>AMZN US Equity</stp>
        <stp>CF_DEF_INC_TAX</stp>
        <stp>FQ4 2004</stp>
        <stp>FQ4 2004</stp>
        <stp>[FA1_j2ahgkxc.xlsx]Cash Flow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4"/>
      </tp>
      <tp>
        <v>141.72399999999999</v>
        <stp/>
        <stp>##V3_BDHV12</stp>
        <stp>AMZN US Equity</stp>
        <stp>CF_DECR_INVEST</stp>
        <stp>FQ3 2001</stp>
        <stp>FQ3 2001</stp>
        <stp>[FA1_j2ahgkxc.xlsx]Cash Flow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4"/>
      </tp>
      <tp>
        <v>-223.81700000000001</v>
        <stp/>
        <stp>##V3_BDHV12</stp>
        <stp>AMZN US Equity</stp>
        <stp>CF_INCR_INVEST</stp>
        <stp>FQ3 2001</stp>
        <stp>FQ3 2001</stp>
        <stp>[FA1_j2ahgkxc.xlsx]Cash Flow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4"/>
      </tp>
      <tp>
        <v>0</v>
        <stp/>
        <stp>##V3_BDHV12</stp>
        <stp>AMZN US Equity</stp>
        <stp>CF_INCR_INVEST</stp>
        <stp>FQ1 2008</stp>
        <stp>FQ1 2008</stp>
        <stp>[FA1_j2ahgkxc.xlsx]Cash Flow - Standardized!R26C39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4"/>
      </tp>
      <tp>
        <v>0</v>
        <stp/>
        <stp>##V3_BDHV12</stp>
        <stp>AMZN US Equity</stp>
        <stp>CF_DECR_INVEST</stp>
        <stp>FQ1 2008</stp>
        <stp>FQ1 2008</stp>
        <stp>[FA1_j2ahgkxc.xlsx]Cash Flow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4"/>
      </tp>
      <tp>
        <v>0</v>
        <stp/>
        <stp>##V3_BDHV12</stp>
        <stp>AMZN US Equity</stp>
        <stp>CF_DECR_INVEST</stp>
        <stp>FQ1 2006</stp>
        <stp>FQ1 2006</stp>
        <stp>[FA1_j2ahgkxc.xlsx]Cash Flow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4"/>
      </tp>
      <tp>
        <v>50.621000000000002</v>
        <stp/>
        <stp>##V3_BDHV12</stp>
        <stp>AMZN US Equity</stp>
        <stp>CF_DECR_INVEST</stp>
        <stp>FQ3 2002</stp>
        <stp>FQ3 2002</stp>
        <stp>[FA1_j2ahgkxc.xlsx]Cash Flow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4"/>
      </tp>
      <tp>
        <v>-28.186</v>
        <stp/>
        <stp>##V3_BDHV12</stp>
        <stp>AMZN US Equity</stp>
        <stp>CF_INCR_INVEST</stp>
        <stp>FQ3 2002</stp>
        <stp>FQ3 2002</stp>
        <stp>[FA1_j2ahgkxc.xlsx]Cash Flow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4"/>
      </tp>
      <tp>
        <v>0</v>
        <stp/>
        <stp>##V3_BDHV12</stp>
        <stp>AMZN US Equity</stp>
        <stp>CF_INCR_INVEST</stp>
        <stp>FQ1 2006</stp>
        <stp>FQ1 2006</stp>
        <stp>[FA1_j2ahgkxc.xlsx]Cash Flow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4"/>
      </tp>
      <tp>
        <v>198</v>
        <stp/>
        <stp>##V3_BDHV12</stp>
        <stp>AMZN US Equity</stp>
        <stp>IS_OPER_INC</stp>
        <stp>FQ1 2008</stp>
        <stp>FQ1 2008</stp>
        <stp>[FA1_j2ahgkxc.xlsx]Income - Adjusted!R12C39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2" s="2"/>
      </tp>
      <tp>
        <v>116</v>
        <stp/>
        <stp>##V3_BDHV12</stp>
        <stp>AMZN US Equity</stp>
        <stp>IS_OPER_INC</stp>
        <stp>FQ2 2007</stp>
        <stp>FQ2 2007</stp>
        <stp>[FA1_j2ahgkxc.xlsx]Income - Adjusted!R12C36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2" s="2"/>
      </tp>
      <tp>
        <v>81.274000000000001</v>
        <stp/>
        <stp>##V3_BDHV12</stp>
        <stp>AMZN US Equity</stp>
        <stp>IS_OPER_INC</stp>
        <stp>FQ3 2004</stp>
        <stp>FQ3 2004</stp>
        <stp>[FA1_j2ahgkxc.xlsx]Income - Adjusted!R12C25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>
        <v>137.756</v>
        <stp/>
        <stp>##V3_BDHV12</stp>
        <stp>AMZN US Equity</stp>
        <stp>IS_OPER_INC</stp>
        <stp>FQ4 2003</stp>
        <stp>FQ4 2003</stp>
        <stp>[FA1_j2ahgkxc.xlsx]Income - Adjusted!R12C22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356.10199999999998</v>
        <stp/>
        <stp>##V3_BDHV12</stp>
        <stp>AMZN US Equity</stp>
        <stp>BS_SH_OUT</stp>
        <stp>FQ3 2000</stp>
        <stp>FQ3 2000</stp>
        <stp>[FA1_j2ahgkxc.xlsx]Per Share!R6C9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5"/>
      </tp>
      <tp>
        <v>-10</v>
        <stp/>
        <stp>##V3_BDHV12</stp>
        <stp>AMZN US Equity</stp>
        <stp>CF_DEF_INC_TAX</stp>
        <stp>FQ2 2008</stp>
        <stp>FQ2 2008</stp>
        <stp>[FA1_j2ahgkxc.xlsx]Cash Flow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4"/>
      </tp>
      <tp>
        <v>38.68</v>
        <stp/>
        <stp>##V3_BDHV12</stp>
        <stp>AMZN US Equity</stp>
        <stp>PX_LAST</stp>
        <stp>FQ2 2006</stp>
        <stp>FQ2 2006</stp>
        <stp>[FA1_j2ahgkxc.xlsx]Stock Value!R6C32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6"/>
      </tp>
      <tp>
        <v>14.15</v>
        <stp/>
        <stp>##V3_BDHV12</stp>
        <stp>AMZN US Equity</stp>
        <stp>PX_LAST</stp>
        <stp>FQ2 2001</stp>
        <stp>FQ2 2001</stp>
        <stp>[FA1_j2ahgkxc.xlsx]Stock Value!R6C12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6"/>
      </tp>
      <tp>
        <v>51.28</v>
        <stp/>
        <stp>##V3_BDHV12</stp>
        <stp>AMZN US Equity</stp>
        <stp>PX_LAST</stp>
        <stp>FQ4 2008</stp>
        <stp>FQ4 2008</stp>
        <stp>[FA1_j2ahgkxc.xlsx]Stock Value!R6C42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6"/>
      </tp>
      <tp>
        <v>52.62</v>
        <stp/>
        <stp>##V3_BDHV12</stp>
        <stp>AMZN US Equity</stp>
        <stp>PX_LAST</stp>
        <stp>FQ4 2003</stp>
        <stp>FQ4 2003</stp>
        <stp>[FA1_j2ahgkxc.xlsx]Stock Value!R6C22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6"/>
      </tp>
      <tp>
        <v>110.625</v>
        <stp/>
        <stp>##V3_BDHV12</stp>
        <stp>AMZN US Equity</stp>
        <stp>PX_HIGH</stp>
        <stp>FQ2 1999</stp>
        <stp>FQ2 1999</stp>
        <stp>[FA1_j2ahgkxc.xlsx]Stock Value!R9C4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" s="6"/>
      </tp>
      <tp>
        <v>-149.28989999999999</v>
        <stp/>
        <stp>##V3_BDHV12</stp>
        <stp>AMZN US Equity</stp>
        <stp>NET_DEBT_TO_SHRHLDR_EQTY</stp>
        <stp>FQ4 2007</stp>
        <stp>FQ4 2007</stp>
        <stp>[FA1_j2ahgkxc.xlsx]Bal Sheet - Standardized!R66C38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6" s="3"/>
      </tp>
      <tp t="s">
        <v>—</v>
        <stp/>
        <stp>##V3_BDHV12</stp>
        <stp>AMZN US Equity</stp>
        <stp>NET_DEBT_TO_SHRHLDR_EQTY</stp>
        <stp>FQ1 2003</stp>
        <stp>FQ1 2003</stp>
        <stp>[FA1_j2ahgkxc.xlsx]Bal Sheet - Standardized!R66C19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6" s="3"/>
      </tp>
      <tp t="s">
        <v>—</v>
        <stp/>
        <stp>##V3_BDHV12</stp>
        <stp>AMZN US Equity</stp>
        <stp>NUM_OF_EMPLOYEES</stp>
        <stp>FQ2 1999</stp>
        <stp>FQ2 1999</stp>
        <stp>[FA1_j2ahgkxc.xlsx]Bal Sheet - Standardized!R70C5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0" s="3"/>
      </tp>
      <tp>
        <v>2100</v>
        <stp/>
        <stp>##V3_BDHV12</stp>
        <stp>AMZN US Equity</stp>
        <stp>NUM_OF_EMPLOYEES</stp>
        <stp>FQ4 1998</stp>
        <stp>FQ4 1998</stp>
        <stp>[FA1_j2ahgkxc.xlsx]Bal Sheet - Standardized!R70C3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0" s="3"/>
      </tp>
      <tp>
        <v>618</v>
        <stp/>
        <stp>##V3_BDHV12</stp>
        <stp>AMZN US Equity</stp>
        <stp>BS_MKT_SEC_OTHER_ST_INVEST</stp>
        <stp>FQ1 2005</stp>
        <stp>FQ1 2005</stp>
        <stp>[FA1_j2ahgkxc.xlsx]Bal Sheet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3"/>
      </tp>
      <tp>
        <v>450.20100000000002</v>
        <stp/>
        <stp>##V3_BDHV12</stp>
        <stp>AMZN US Equity</stp>
        <stp>BS_MKT_SEC_OTHER_ST_INVEST</stp>
        <stp>FQ2 2004</stp>
        <stp>FQ2 2004</stp>
        <stp>[FA1_j2ahgkxc.xlsx]Bal Sheet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3"/>
      </tp>
      <tp>
        <v>292.55</v>
        <stp/>
        <stp>##V3_BDHV12</stp>
        <stp>AMZN US Equity</stp>
        <stp>BS_MKT_SEC_OTHER_ST_INVEST</stp>
        <stp>FQ4 2003</stp>
        <stp>FQ4 2003</stp>
        <stp>[FA1_j2ahgkxc.xlsx]Bal Sheet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3"/>
      </tp>
      <tp>
        <v>439.09199999999998</v>
        <stp/>
        <stp>##V3_BDHV12</stp>
        <stp>AMZN US Equity</stp>
        <stp>BS_MKT_SEC_OTHER_ST_INVEST</stp>
        <stp>FQ3 2004</stp>
        <stp>FQ3 2004</stp>
        <stp>[FA1_j2ahgkxc.xlsx]Bal Sheet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3"/>
      </tp>
      <tp>
        <v>229.554</v>
        <stp/>
        <stp>##V3_BDHV12</stp>
        <stp>AMZN US Equity</stp>
        <stp>BS_MKT_SEC_OTHER_ST_INVEST</stp>
        <stp>FQ1 2004</stp>
        <stp>FQ1 2004</stp>
        <stp>[FA1_j2ahgkxc.xlsx]Bal Sheet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3"/>
      </tp>
      <tp>
        <v>-0.68</v>
        <stp/>
        <stp>##V3_BDHV12</stp>
        <stp>AMZN US Equity</stp>
        <stp>IS_EARN_BEF_XO_ITEMS_PER_SH</stp>
        <stp>FQ3 2000</stp>
        <stp>FQ3 2000</stp>
        <stp>[FA1_j2ahgkxc.xlsx]Income - Adjusted!R36C9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6" s="2"/>
      </tp>
      <tp>
        <v>398.24200000000002</v>
        <stp/>
        <stp>##V3_BDHV12</stp>
        <stp>AMZN US Equity</stp>
        <stp>BS_MKT_SEC_OTHER_ST_INVEST</stp>
        <stp>FQ3 2003</stp>
        <stp>FQ3 2003</stp>
        <stp>[FA1_j2ahgkxc.xlsx]Bal Sheet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3"/>
      </tp>
      <tp>
        <v>476.59899999999999</v>
        <stp/>
        <stp>##V3_BDHV12</stp>
        <stp>AMZN US Equity</stp>
        <stp>BS_MKT_SEC_OTHER_ST_INVEST</stp>
        <stp>FQ4 2004</stp>
        <stp>FQ4 2004</stp>
        <stp>[FA1_j2ahgkxc.xlsx]Bal Sheet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3"/>
      </tp>
      <tp>
        <v>347.04399999999998</v>
        <stp/>
        <stp>##V3_BDHV12</stp>
        <stp>AMZN US Equity</stp>
        <stp>BS_MKT_SEC_OTHER_ST_INVEST</stp>
        <stp>FQ2 2003</stp>
        <stp>FQ2 2003</stp>
        <stp>[FA1_j2ahgkxc.xlsx]Bal Sheet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3"/>
      </tp>
      <tp>
        <v>0.12</v>
        <stp/>
        <stp>##V3_BDHV12</stp>
        <stp>AMZN US Equity</stp>
        <stp>IS_DIL_EPS_CONT_OPS</stp>
        <stp>FQ1 2006</stp>
        <stp>FQ1 2006</stp>
        <stp>[FA1_j2ahgkxc.xlsx]Per Share!R19C31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9" s="5"/>
      </tp>
      <tp>
        <v>0.23</v>
        <stp/>
        <stp>##V3_BDHV12</stp>
        <stp>AMZN US Equity</stp>
        <stp>IS_DIL_EPS_CONT_OPS</stp>
        <stp>FQ1 2004</stp>
        <stp>FQ1 2004</stp>
        <stp>[FA1_j2ahgkxc.xlsx]Per Share!R19C23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9" s="5"/>
      </tp>
      <tp>
        <v>-0.01</v>
        <stp/>
        <stp>##V3_BDHV12</stp>
        <stp>AMZN US Equity</stp>
        <stp>IS_DIL_EPS_CONT_OPS</stp>
        <stp>FQ1 2002</stp>
        <stp>FQ1 2002</stp>
        <stp>[FA1_j2ahgkxc.xlsx]Per Share!R19C15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9" s="5"/>
      </tp>
      <tp>
        <v>819</v>
        <stp/>
        <stp>##V3_BDHV12</stp>
        <stp>AMZN US Equity</stp>
        <stp>BS_MKT_SEC_OTHER_ST_INVEST</stp>
        <stp>FQ3 2005</stp>
        <stp>FQ3 2005</stp>
        <stp>[FA1_j2ahgkxc.xlsx]Bal Sheet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3"/>
      </tp>
      <tp>
        <v>696</v>
        <stp/>
        <stp>##V3_BDHV12</stp>
        <stp>AMZN US Equity</stp>
        <stp>BS_MKT_SEC_OTHER_ST_INVEST</stp>
        <stp>FQ2 2005</stp>
        <stp>FQ2 2005</stp>
        <stp>[FA1_j2ahgkxc.xlsx]Bal Sheet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3"/>
      </tp>
      <tp>
        <v>27.875</v>
        <stp/>
        <stp>##V3_BDHV12</stp>
        <stp>AMZN US Equity</stp>
        <stp>PX_LOW</stp>
        <stp>FQ3 2000</stp>
        <stp>FQ3 2000</stp>
        <stp>[FA1_j2ahgkxc.xlsx]Stock Value!R10C9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0" s="6"/>
      </tp>
      <tp>
        <v>42.125</v>
        <stp/>
        <stp>##V3_BDHV12</stp>
        <stp>AMZN US Equity</stp>
        <stp>PX_LOW</stp>
        <stp>FQ1 1999</stp>
        <stp>FQ1 1999</stp>
        <stp>[FA1_j2ahgkxc.xlsx]Stock Value!R10C3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0" s="6"/>
      </tp>
      <tp>
        <v>154</v>
        <stp/>
        <stp>##V3_BDHV12</stp>
        <stp>AMZN US Equity</stp>
        <stp>EBIT</stp>
        <stp>FQ3 2008</stp>
        <stp>FQ3 2008</stp>
        <stp>[FA1_j2ahgkxc.xlsx]Income - Adjusted!R49C41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9" s="2"/>
      </tp>
      <tp>
        <v>502</v>
        <stp/>
        <stp>##V3_BDHV12</stp>
        <stp>AMZN US Equity</stp>
        <stp>OTHER_CURRENT_LIABS_DETAILED</stp>
        <stp>FQ3 2006</stp>
        <stp>FQ3 2006</stp>
        <stp>[FA1_j2ahgkxc.xlsx]Bal Sheet - Standardized!R38C33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8" s="3"/>
      </tp>
      <tp>
        <v>328.45600000000002</v>
        <stp/>
        <stp>##V3_BDHV12</stp>
        <stp>AMZN US Equity</stp>
        <stp>OTHER_CURRENT_LIABS_DETAILED</stp>
        <stp>FQ1 2002</stp>
        <stp>FQ1 2002</stp>
        <stp>[FA1_j2ahgkxc.xlsx]Bal Sheet - Standardized!R38C15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8" s="3"/>
      </tp>
      <tp>
        <v>316.14299999999997</v>
        <stp/>
        <stp>##V3_BDHV12</stp>
        <stp>AMZN US Equity</stp>
        <stp>OTHER_CURRENT_LIABS_DETAILED</stp>
        <stp>FQ2 2003</stp>
        <stp>FQ2 2003</stp>
        <stp>[FA1_j2ahgkxc.xlsx]Bal Sheet - Standardized!R38C20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8" s="3"/>
      </tp>
      <tp>
        <v>327.99400000000003</v>
        <stp/>
        <stp>##V3_BDHV12</stp>
        <stp>AMZN US Equity</stp>
        <stp>OTHER_CURRENT_LIABS_DETAILED</stp>
        <stp>FQ1 2001</stp>
        <stp>FQ1 2001</stp>
        <stp>[FA1_j2ahgkxc.xlsx]Bal Sheet - Standardized!R38C11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8" s="3"/>
      </tp>
      <tp>
        <v>7.0000000000000007E-2</v>
        <stp/>
        <stp>##V3_BDHV12</stp>
        <stp>AMZN US Equity</stp>
        <stp>IS_EARN_BEF_XO_ITEMS_PER_SH</stp>
        <stp>FQ3 2005</stp>
        <stp>FQ3 2005</stp>
        <stp>[FA1_j2ahgkxc.xlsx]Income - Adjusted!R36C29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6" s="2"/>
      </tp>
      <tp>
        <v>645</v>
        <stp/>
        <stp>##V3_BDHV12</stp>
        <stp>AMZN US Equity</stp>
        <stp>OTHER_CURRENT_LIABS_DETAILED</stp>
        <stp>FQ3 2007</stp>
        <stp>FQ3 2007</stp>
        <stp>[FA1_j2ahgkxc.xlsx]Bal Sheet - Standardized!R38C37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8" s="3"/>
      </tp>
      <tp>
        <v>328.82799999999997</v>
        <stp/>
        <stp>##V3_BDHV12</stp>
        <stp>AMZN US Equity</stp>
        <stp>OTHER_CURRENT_LIABS_DETAILED</stp>
        <stp>FQ2 2004</stp>
        <stp>FQ2 2004</stp>
        <stp>[FA1_j2ahgkxc.xlsx]Bal Sheet - Standardized!R38C24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8" s="3"/>
      </tp>
      <tp t="s">
        <v>—</v>
        <stp/>
        <stp>##V3_BDHV12</stp>
        <stp>AMZN US Equity</stp>
        <stp>IS_FOREIGN_EXCH_LOSS</stp>
        <stp>FQ2 2005</stp>
        <stp>FQ2 2005</stp>
        <stp>[FA1_j2ahgkxc.xlsx]Income - Adjusted!R16C28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6" s="2"/>
      </tp>
      <tp>
        <v>401</v>
        <stp/>
        <stp>##V3_BDHV12</stp>
        <stp>AMZN US Equity</stp>
        <stp>OTHER_CURRENT_LIABS_DETAILED</stp>
        <stp>FQ2 2005</stp>
        <stp>FQ2 2005</stp>
        <stp>[FA1_j2ahgkxc.xlsx]Bal Sheet - Standardized!R38C28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8" s="3"/>
      </tp>
      <tp>
        <v>1021</v>
        <stp/>
        <stp>##V3_BDHV12</stp>
        <stp>AMZN US Equity</stp>
        <stp>OTHER_CURRENT_LIABS_DETAILED</stp>
        <stp>FQ4 2008</stp>
        <stp>FQ4 2008</stp>
        <stp>[FA1_j2ahgkxc.xlsx]Bal Sheet - Standardized!R38C42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8" s="3"/>
      </tp>
      <tp>
        <v>293.80500000000001</v>
        <stp/>
        <stp>##V3_BDHV12</stp>
        <stp>AMZN US Equity</stp>
        <stp>OTHER_CURRENT_LIABS_DETAILED</stp>
        <stp>FQ1 2003</stp>
        <stp>FQ1 2003</stp>
        <stp>[FA1_j2ahgkxc.xlsx]Bal Sheet - Standardized!R38C19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8" s="3"/>
      </tp>
      <tp>
        <v>107.60599999999999</v>
        <stp/>
        <stp>##V3_BDHV12</stp>
        <stp>AMZN US Equity</stp>
        <stp>BS_ACCUM_DEPR</stp>
        <stp>FQ3 2000</stp>
        <stp>FQ3 2000</stp>
        <stp>[FA1_j2ahgkxc.xlsx]Bal Sheet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65.849999999999994</v>
        <stp/>
        <stp>##V3_BDHV12</stp>
        <stp>AMZN US Equity</stp>
        <stp>BS_ACCUM_DEPR</stp>
        <stp>FQ1 2000</stp>
        <stp>FQ1 2000</stp>
        <stp>[FA1_j2ahgkxc.xlsx]Bal Sheet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1.6153999999999999</v>
        <stp/>
        <stp>##V3_BDHV12</stp>
        <stp>AMZN US Equity</stp>
        <stp>CUR_RATIO</stp>
        <stp>FQ3 2005</stp>
        <stp>FQ3 2005</stp>
        <stp>[FA1_j2ahgkxc.xlsx]Bal Sheet - Standardized!R68C29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8" s="3"/>
      </tp>
      <tp>
        <v>1.6836</v>
        <stp/>
        <stp>##V3_BDHV12</stp>
        <stp>AMZN US Equity</stp>
        <stp>CUR_RATIO</stp>
        <stp>FQ2 2005</stp>
        <stp>FQ2 2005</stp>
        <stp>[FA1_j2ahgkxc.xlsx]Bal Sheet - Standardized!R68C28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8" s="3"/>
      </tp>
      <tp t="s">
        <v>—</v>
        <stp/>
        <stp>##V3_BDHV12</stp>
        <stp>AMZN US Equity</stp>
        <stp>IS_SELLING_EXPENSES</stp>
        <stp>FQ2 1999</stp>
        <stp>FQ2 1999</stp>
        <stp>[FA1_j2ahgkxc.xlsx]Income - Adjusted!R11C5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-1.53</v>
        <stp/>
        <stp>##V3_BDHV12</stp>
        <stp>AMZN US Equity</stp>
        <stp>IS_DIL_EPS_BEF_XO</stp>
        <stp>FQ4 2000</stp>
        <stp>FQ4 2000</stp>
        <stp>[FA1_j2ahgkxc.xlsx]Income - Adjusted!R41C10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1" s="2"/>
      </tp>
      <tp>
        <v>-0.63</v>
        <stp/>
        <stp>##V3_BDHV12</stp>
        <stp>AMZN US Equity</stp>
        <stp>IS_DIL_EPS_BEF_XO</stp>
        <stp>FQ1 2001</stp>
        <stp>FQ1 2001</stp>
        <stp>[FA1_j2ahgkxc.xlsx]Income - Adjusted!R41C11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1" s="2"/>
      </tp>
      <tp>
        <v>0.18</v>
        <stp/>
        <stp>##V3_BDHV12</stp>
        <stp>AMZN US Equity</stp>
        <stp>IS_DIL_EPS_BEF_XO</stp>
        <stp>FQ2 2004</stp>
        <stp>FQ2 2004</stp>
        <stp>[FA1_j2ahgkxc.xlsx]Income - Adjusted!R41C24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1" s="2"/>
      </tp>
      <tp>
        <v>0.19</v>
        <stp/>
        <stp>##V3_BDHV12</stp>
        <stp>AMZN US Equity</stp>
        <stp>IS_DIL_EPS_BEF_XO</stp>
        <stp>FQ3 2007</stp>
        <stp>FQ3 2007</stp>
        <stp>[FA1_j2ahgkxc.xlsx]Income - Adjusted!R41C37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1" s="2"/>
      </tp>
      <tp>
        <v>0.43559999999999999</v>
        <stp/>
        <stp>##V3_BDHV12</stp>
        <stp>AMZN US Equity</stp>
        <stp>BOOK_VAL_PER_SH</stp>
        <stp>FQ4 1998</stp>
        <stp>FQ4 1998</stp>
        <stp>[FA1_j2ahgkxc.xlsx]Per Share!R26C3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6" s="5"/>
      </tp>
      <tp>
        <v>0</v>
        <stp/>
        <stp>##V3_BDHV12</stp>
        <stp>AMZN US Equity</stp>
        <stp>CF_DECR_INVEST</stp>
        <stp>FQ1 2005</stp>
        <stp>FQ1 2005</stp>
        <stp>[FA1_j2ahgkxc.xlsx]Cash Flow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4"/>
      </tp>
      <tp>
        <v>0</v>
        <stp/>
        <stp>##V3_BDHV12</stp>
        <stp>AMZN US Equity</stp>
        <stp>CF_INCR_INVEST</stp>
        <stp>FQ1 2005</stp>
        <stp>FQ1 2005</stp>
        <stp>[FA1_j2ahgkxc.xlsx]Cash Flow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4"/>
      </tp>
      <tp>
        <v>7</v>
        <stp/>
        <stp>##V3_BDHV12</stp>
        <stp>AMZN US Equity</stp>
        <stp>CF_DEF_INC_TAX</stp>
        <stp>FQ4 2006</stp>
        <stp>FQ4 2006</stp>
        <stp>[FA1_j2ahgkxc.xlsx]Cash Flow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4"/>
      </tp>
      <tp>
        <v>66.971000000000004</v>
        <stp/>
        <stp>##V3_BDHV12</stp>
        <stp>AMZN US Equity</stp>
        <stp>CF_DECR_INVEST</stp>
        <stp>FQ2 2001</stp>
        <stp>FQ2 2001</stp>
        <stp>[FA1_j2ahgkxc.xlsx]Cash Flow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4"/>
      </tp>
      <tp>
        <v>-26.742999999999999</v>
        <stp/>
        <stp>##V3_BDHV12</stp>
        <stp>AMZN US Equity</stp>
        <stp>CF_INCR_INVEST</stp>
        <stp>FQ2 2001</stp>
        <stp>FQ2 2001</stp>
        <stp>[FA1_j2ahgkxc.xlsx]Cash Flow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4"/>
      </tp>
      <tp>
        <v>-47</v>
        <stp/>
        <stp>##V3_BDHV12</stp>
        <stp>AMZN US Equity</stp>
        <stp>CF_DEF_INC_TAX</stp>
        <stp>FQ4 2005</stp>
        <stp>FQ4 2005</stp>
        <stp>[FA1_j2ahgkxc.xlsx]Cash Flow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4"/>
      </tp>
      <tp>
        <v>0</v>
        <stp/>
        <stp>##V3_BDHV12</stp>
        <stp>AMZN US Equity</stp>
        <stp>CF_DECR_INVEST</stp>
        <stp>FQ1 2004</stp>
        <stp>FQ1 2004</stp>
        <stp>[FA1_j2ahgkxc.xlsx]Cash Flow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4"/>
      </tp>
      <tp>
        <v>213.33600000000001</v>
        <stp/>
        <stp>##V3_BDHV12</stp>
        <stp>AMZN US Equity</stp>
        <stp>CF_DECR_INVEST</stp>
        <stp>FQ2 2002</stp>
        <stp>FQ2 2002</stp>
        <stp>[FA1_j2ahgkxc.xlsx]Cash Flow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4"/>
      </tp>
      <tp>
        <v>-299.87700000000001</v>
        <stp/>
        <stp>##V3_BDHV12</stp>
        <stp>AMZN US Equity</stp>
        <stp>CF_INCR_INVEST</stp>
        <stp>FQ2 2002</stp>
        <stp>FQ2 2002</stp>
        <stp>[FA1_j2ahgkxc.xlsx]Cash Flow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4"/>
      </tp>
      <tp>
        <v>0</v>
        <stp/>
        <stp>##V3_BDHV12</stp>
        <stp>AMZN US Equity</stp>
        <stp>CF_INCR_INVEST</stp>
        <stp>FQ1 2004</stp>
        <stp>FQ1 2004</stp>
        <stp>[FA1_j2ahgkxc.xlsx]Cash Flow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4"/>
      </tp>
      <tp>
        <v>-102.348</v>
        <stp/>
        <stp>##V3_BDHV12</stp>
        <stp>AMZN US Equity</stp>
        <stp>IS_OPER_INC</stp>
        <stp>FQ1 2001</stp>
        <stp>FQ1 2001</stp>
        <stp>[FA1_j2ahgkxc.xlsx]Income - Adjusted!R12C11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79.123999999999995</v>
        <stp/>
        <stp>##V3_BDHV12</stp>
        <stp>AMZN US Equity</stp>
        <stp>IS_OPER_INC</stp>
        <stp>FQ2 2004</stp>
        <stp>FQ2 2004</stp>
        <stp>[FA1_j2ahgkxc.xlsx]Income - Adjusted!R12C24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>
        <v>123</v>
        <stp/>
        <stp>##V3_BDHV12</stp>
        <stp>AMZN US Equity</stp>
        <stp>IS_OPER_INC</stp>
        <stp>FQ3 2007</stp>
        <stp>FQ3 2007</stp>
        <stp>[FA1_j2ahgkxc.xlsx]Income - Adjusted!R12C37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2" s="2"/>
      </tp>
      <tp>
        <v>-138.04400000000001</v>
        <stp/>
        <stp>##V3_BDHV12</stp>
        <stp>AMZN US Equity</stp>
        <stp>IS_OPER_INC</stp>
        <stp>FQ4 2000</stp>
        <stp>FQ4 2000</stp>
        <stp>[FA1_j2ahgkxc.xlsx]Income - Adjusted!R12C10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-17</v>
        <stp/>
        <stp>##V3_BDHV12</stp>
        <stp>AMZN US Equity</stp>
        <stp>CF_DEF_INC_TAX</stp>
        <stp>FQ3 2008</stp>
        <stp>FQ3 2008</stp>
        <stp>[FA1_j2ahgkxc.xlsx]Cash Flow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4"/>
      </tp>
      <tp>
        <v>-97</v>
        <stp/>
        <stp>##V3_BDHV12</stp>
        <stp>AMZN US Equity</stp>
        <stp>CF_DEF_INC_TAX</stp>
        <stp>FQ4 2007</stp>
        <stp>FQ4 2007</stp>
        <stp>[FA1_j2ahgkxc.xlsx]Cash Flow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4"/>
      </tp>
      <tp>
        <v>32.119999999999997</v>
        <stp/>
        <stp>##V3_BDHV12</stp>
        <stp>AMZN US Equity</stp>
        <stp>PX_LAST</stp>
        <stp>FQ3 2006</stp>
        <stp>FQ3 2006</stp>
        <stp>[FA1_j2ahgkxc.xlsx]Stock Value!R6C33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6"/>
      </tp>
      <tp>
        <v>5.97</v>
        <stp/>
        <stp>##V3_BDHV12</stp>
        <stp>AMZN US Equity</stp>
        <stp>PX_LAST</stp>
        <stp>FQ3 2001</stp>
        <stp>FQ3 2001</stp>
        <stp>[FA1_j2ahgkxc.xlsx]Stock Value!R6C13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6"/>
      </tp>
      <tp>
        <v>-3.93</v>
        <stp/>
        <stp>##V3_BDHV12</stp>
        <stp>AMZN US Equity</stp>
        <stp>PROC_FR_REPAYMNTS_BOR_DETAILED</stp>
        <stp>FQ4 2000</stp>
        <stp>FQ4 2000</stp>
        <stp>[FA1_j2ahgkxc.xlsx]Cash Flow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4"/>
      </tp>
      <tp>
        <v>43.28</v>
        <stp/>
        <stp>##V3_BDHV12</stp>
        <stp>AMZN US Equity</stp>
        <stp>PX_LAST</stp>
        <stp>FQ1 2004</stp>
        <stp>FQ1 2004</stp>
        <stp>[FA1_j2ahgkxc.xlsx]Stock Value!R6C23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6"/>
      </tp>
      <tp>
        <v>-4.4400000000000004</v>
        <stp/>
        <stp>##V3_BDHV12</stp>
        <stp>AMZN US Equity</stp>
        <stp>PROC_FR_REPAYMNTS_BOR_DETAILED</stp>
        <stp>FQ4 2001</stp>
        <stp>FQ4 2001</stp>
        <stp>[FA1_j2ahgkxc.xlsx]Cash Flow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4"/>
      </tp>
      <tp>
        <v>-2.6739999999999999</v>
        <stp/>
        <stp>##V3_BDHV12</stp>
        <stp>AMZN US Equity</stp>
        <stp>PROC_FR_REPAYMNTS_BOR_DETAILED</stp>
        <stp>FQ4 2002</stp>
        <stp>FQ4 2002</stp>
        <stp>[FA1_j2ahgkxc.xlsx]Cash Flow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4"/>
      </tp>
      <tp>
        <v>85</v>
        <stp/>
        <stp>##V3_BDHV12</stp>
        <stp>AMZN US Equity</stp>
        <stp>PX_HIGH</stp>
        <stp>FQ3 1999</stp>
        <stp>FQ3 1999</stp>
        <stp>[FA1_j2ahgkxc.xlsx]Stock Value!R9C5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" s="6"/>
      </tp>
      <tp>
        <v>-67.533600000000007</v>
        <stp/>
        <stp>##V3_BDHV12</stp>
        <stp>AMZN US Equity</stp>
        <stp>NET_DEBT_TO_SHRHLDR_EQTY</stp>
        <stp>FQ2 2008</stp>
        <stp>FQ2 2008</stp>
        <stp>[FA1_j2ahgkxc.xlsx]Bal Sheet - Standardized!R66C40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6" s="3"/>
      </tp>
      <tp>
        <v>-74.752700000000004</v>
        <stp/>
        <stp>##V3_BDHV12</stp>
        <stp>AMZN US Equity</stp>
        <stp>NET_DEBT_TO_SHRHLDR_EQTY</stp>
        <stp>FQ3 2008</stp>
        <stp>FQ3 2008</stp>
        <stp>[FA1_j2ahgkxc.xlsx]Bal Sheet - Standardized!R66C41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6" s="3"/>
      </tp>
      <tp>
        <v>543</v>
        <stp/>
        <stp>##V3_BDHV12</stp>
        <stp>AMZN US Equity</stp>
        <stp>BS_MKT_SEC_OTHER_ST_INVEST</stp>
        <stp>FQ3 2007</stp>
        <stp>FQ3 2007</stp>
        <stp>[FA1_j2ahgkxc.xlsx]Bal Sheet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3"/>
      </tp>
      <tp>
        <v>661</v>
        <stp/>
        <stp>##V3_BDHV12</stp>
        <stp>AMZN US Equity</stp>
        <stp>BS_MKT_SEC_OTHER_ST_INVEST</stp>
        <stp>FQ2 2007</stp>
        <stp>FQ2 2007</stp>
        <stp>[FA1_j2ahgkxc.xlsx]Bal Sheet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3"/>
      </tp>
      <tp>
        <v>672</v>
        <stp/>
        <stp>##V3_BDHV12</stp>
        <stp>AMZN US Equity</stp>
        <stp>BS_MKT_SEC_OTHER_ST_INVEST</stp>
        <stp>FQ1 2007</stp>
        <stp>FQ1 2007</stp>
        <stp>[FA1_j2ahgkxc.xlsx]Bal Sheet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3"/>
      </tp>
      <tp>
        <v>987</v>
        <stp/>
        <stp>##V3_BDHV12</stp>
        <stp>AMZN US Equity</stp>
        <stp>BS_MKT_SEC_OTHER_ST_INVEST</stp>
        <stp>FQ4 2005</stp>
        <stp>FQ4 2005</stp>
        <stp>[FA1_j2ahgkxc.xlsx]Bal Sheet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3"/>
      </tp>
      <tp>
        <v>736</v>
        <stp/>
        <stp>##V3_BDHV12</stp>
        <stp>AMZN US Equity</stp>
        <stp>BS_MKT_SEC_OTHER_ST_INVEST</stp>
        <stp>FQ2 2006</stp>
        <stp>FQ2 2006</stp>
        <stp>[FA1_j2ahgkxc.xlsx]Bal Sheet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3"/>
      </tp>
      <tp>
        <v>526</v>
        <stp/>
        <stp>##V3_BDHV12</stp>
        <stp>AMZN US Equity</stp>
        <stp>BS_MKT_SEC_OTHER_ST_INVEST</stp>
        <stp>FQ3 2006</stp>
        <stp>FQ3 2006</stp>
        <stp>[FA1_j2ahgkxc.xlsx]Bal Sheet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3"/>
      </tp>
      <tp>
        <v>827</v>
        <stp/>
        <stp>##V3_BDHV12</stp>
        <stp>AMZN US Equity</stp>
        <stp>BS_MKT_SEC_OTHER_ST_INVEST</stp>
        <stp>FQ1 2006</stp>
        <stp>FQ1 2006</stp>
        <stp>[FA1_j2ahgkxc.xlsx]Bal Sheet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3"/>
      </tp>
      <tp>
        <v>997</v>
        <stp/>
        <stp>##V3_BDHV12</stp>
        <stp>AMZN US Equity</stp>
        <stp>BS_MKT_SEC_OTHER_ST_INVEST</stp>
        <stp>FQ4 2006</stp>
        <stp>FQ4 2006</stp>
        <stp>[FA1_j2ahgkxc.xlsx]Bal Sheet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3"/>
      </tp>
      <tp>
        <v>573</v>
        <stp/>
        <stp>##V3_BDHV12</stp>
        <stp>AMZN US Equity</stp>
        <stp>BS_MKT_SEC_OTHER_ST_INVEST</stp>
        <stp>FQ4 2007</stp>
        <stp>FQ4 2007</stp>
        <stp>[FA1_j2ahgkxc.xlsx]Bal Sheet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3"/>
      </tp>
      <tp>
        <v>655</v>
        <stp/>
        <stp>##V3_BDHV12</stp>
        <stp>AMZN US Equity</stp>
        <stp>BS_MKT_SEC_OTHER_ST_INVEST</stp>
        <stp>FQ1 2008</stp>
        <stp>FQ1 2008</stp>
        <stp>[FA1_j2ahgkxc.xlsx]Bal Sheet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3"/>
      </tp>
      <tp>
        <v>67</v>
        <stp/>
        <stp>##V3_BDHV12</stp>
        <stp>AMZN US Equity</stp>
        <stp>PX_LAST</stp>
        <stp>FQ1 2000</stp>
        <stp>FQ1 2000</stp>
        <stp>[FA1_j2ahgkxc.xlsx]Stock Value!R6C7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6"/>
      </tp>
      <tp>
        <v>32.469000000000001</v>
        <stp/>
        <stp>##V3_BDHV12</stp>
        <stp>AMZN US Equity</stp>
        <stp>PX_LOW</stp>
        <stp>FQ2 2000</stp>
        <stp>FQ2 2000</stp>
        <stp>[FA1_j2ahgkxc.xlsx]Stock Value!R10C8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0" s="6"/>
      </tp>
      <tp>
        <v>217</v>
        <stp/>
        <stp>##V3_BDHV12</stp>
        <stp>AMZN US Equity</stp>
        <stp>EBIT</stp>
        <stp>FQ2 2008</stp>
        <stp>FQ2 2008</stp>
        <stp>[FA1_j2ahgkxc.xlsx]Income - Adjusted!R49C40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9" s="2"/>
      </tp>
      <tp>
        <v>472</v>
        <stp/>
        <stp>##V3_BDHV12</stp>
        <stp>AMZN US Equity</stp>
        <stp>OTHER_CURRENT_LIABS_DETAILED</stp>
        <stp>FQ2 2006</stp>
        <stp>FQ2 2006</stp>
        <stp>[FA1_j2ahgkxc.xlsx]Bal Sheet - Standardized!R38C32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8" s="3"/>
      </tp>
      <tp>
        <v>321.50299999999999</v>
        <stp/>
        <stp>##V3_BDHV12</stp>
        <stp>AMZN US Equity</stp>
        <stp>OTHER_CURRENT_LIABS_DETAILED</stp>
        <stp>FQ3 2003</stp>
        <stp>FQ3 2003</stp>
        <stp>[FA1_j2ahgkxc.xlsx]Bal Sheet - Standardized!R38C21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8" s="3"/>
      </tp>
      <tp>
        <v>0.13</v>
        <stp/>
        <stp>##V3_BDHV12</stp>
        <stp>AMZN US Equity</stp>
        <stp>IS_EARN_BEF_XO_ITEMS_PER_SH</stp>
        <stp>FQ2 2005</stp>
        <stp>FQ2 2005</stp>
        <stp>[FA1_j2ahgkxc.xlsx]Income - Adjusted!R36C28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6" s="2"/>
      </tp>
      <tp>
        <v>625</v>
        <stp/>
        <stp>##V3_BDHV12</stp>
        <stp>AMZN US Equity</stp>
        <stp>OTHER_CURRENT_LIABS_DETAILED</stp>
        <stp>FQ2 2007</stp>
        <stp>FQ2 2007</stp>
        <stp>[FA1_j2ahgkxc.xlsx]Bal Sheet - Standardized!R38C36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8" s="3"/>
      </tp>
      <tp>
        <v>359.274</v>
        <stp/>
        <stp>##V3_BDHV12</stp>
        <stp>AMZN US Equity</stp>
        <stp>OTHER_CURRENT_LIABS_DETAILED</stp>
        <stp>FQ3 2004</stp>
        <stp>FQ3 2004</stp>
        <stp>[FA1_j2ahgkxc.xlsx]Bal Sheet - Standardized!R38C25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8" s="3"/>
      </tp>
      <tp t="s">
        <v>—</v>
        <stp/>
        <stp>##V3_BDHV12</stp>
        <stp>AMZN US Equity</stp>
        <stp>IS_FOREIGN_EXCH_LOSS</stp>
        <stp>FQ3 2005</stp>
        <stp>FQ3 2005</stp>
        <stp>[FA1_j2ahgkxc.xlsx]Income - Adjusted!R16C29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6" s="2"/>
      </tp>
      <tp>
        <v>420</v>
        <stp/>
        <stp>##V3_BDHV12</stp>
        <stp>AMZN US Equity</stp>
        <stp>OTHER_CURRENT_LIABS_DETAILED</stp>
        <stp>FQ3 2005</stp>
        <stp>FQ3 2005</stp>
        <stp>[FA1_j2ahgkxc.xlsx]Bal Sheet - Standardized!R38C29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8" s="3"/>
      </tp>
      <tp>
        <v>0</v>
        <stp/>
        <stp>##V3_BDHV12</stp>
        <stp>AMZN US Equity</stp>
        <stp>EQY_DPS</stp>
        <stp>FQ3 1999</stp>
        <stp>FQ3 1999</stp>
        <stp>[FA1_j2ahgkxc.xlsx]Per Share!R20C6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0" s="5"/>
      </tp>
      <tp>
        <v>0</v>
        <stp/>
        <stp>##V3_BDHV12</stp>
        <stp>AMZN US Equity</stp>
        <stp>EQY_DPS</stp>
        <stp>FQ1 1999</stp>
        <stp>FQ1 1999</stp>
        <stp>[FA1_j2ahgkxc.xlsx]Per Share!R20C4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0" s="5"/>
      </tp>
      <tp t="s">
        <v>—</v>
        <stp/>
        <stp>##V3_BDHV12</stp>
        <stp>AMZN US Equity</stp>
        <stp>IS_SELLING_EXPENSES</stp>
        <stp>FQ4 1998</stp>
        <stp>FQ4 1998</stp>
        <stp>[FA1_j2ahgkxc.xlsx]Income - Adjusted!R11C3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>
        <v>1.5157</v>
        <stp/>
        <stp>##V3_BDHV12</stp>
        <stp>AMZN US Equity</stp>
        <stp>CUR_RATIO</stp>
        <stp>FQ4 2002</stp>
        <stp>FQ4 2002</stp>
        <stp>[FA1_j2ahgkxc.xlsx]Bal Sheet - Standardized!R68C18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8" s="3"/>
      </tp>
      <tp>
        <v>0.17</v>
        <stp/>
        <stp>##V3_BDHV12</stp>
        <stp>AMZN US Equity</stp>
        <stp>IS_DIL_EPS_BEF_XO</stp>
        <stp>FQ4 2003</stp>
        <stp>FQ4 2003</stp>
        <stp>[FA1_j2ahgkxc.xlsx]Income - Adjusted!R41C22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1" s="2"/>
      </tp>
      <tp>
        <v>0.34</v>
        <stp/>
        <stp>##V3_BDHV12</stp>
        <stp>AMZN US Equity</stp>
        <stp>IS_DIL_EPS_BEF_XO</stp>
        <stp>FQ1 2008</stp>
        <stp>FQ1 2008</stp>
        <stp>[FA1_j2ahgkxc.xlsx]Income - Adjusted!R41C39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1" s="2"/>
      </tp>
      <tp>
        <v>0.19</v>
        <stp/>
        <stp>##V3_BDHV12</stp>
        <stp>AMZN US Equity</stp>
        <stp>IS_DIL_EPS_BEF_XO</stp>
        <stp>FQ2 2007</stp>
        <stp>FQ2 2007</stp>
        <stp>[FA1_j2ahgkxc.xlsx]Income - Adjusted!R41C36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1" s="2"/>
      </tp>
      <tp>
        <v>0.13</v>
        <stp/>
        <stp>##V3_BDHV12</stp>
        <stp>AMZN US Equity</stp>
        <stp>IS_DIL_EPS_BEF_XO</stp>
        <stp>FQ3 2004</stp>
        <stp>FQ3 2004</stp>
        <stp>[FA1_j2ahgkxc.xlsx]Income - Adjusted!R41C25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1" s="2"/>
      </tp>
      <tp>
        <v>1.698</v>
        <stp/>
        <stp>##V3_BDHV12</stp>
        <stp>AMZN US Equity</stp>
        <stp>BOOK_VAL_PER_SH</stp>
        <stp>FQ2 1999</stp>
        <stp>FQ2 1999</stp>
        <stp>[FA1_j2ahgkxc.xlsx]Per Share!R26C5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6" s="5"/>
      </tp>
      <tp>
        <v>1.2972999999999999</v>
        <stp/>
        <stp>##V3_BDHV12</stp>
        <stp>AMZN US Equity</stp>
        <stp>CUR_RATIO</stp>
        <stp>FQ4 2008</stp>
        <stp>FQ4 2008</stp>
        <stp>[FA1_j2ahgkxc.xlsx]Bal Sheet - Standardized!R68C42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8" s="3"/>
      </tp>
      <tp>
        <v>271</v>
        <stp/>
        <stp>##V3_BDHV12</stp>
        <stp>AMZN US Equity</stp>
        <stp>IS_OPER_INC</stp>
        <stp>FQ4 2007</stp>
        <stp>FQ4 2007</stp>
        <stp>[FA1_j2ahgkxc.xlsx]Income - Adjusted!R12C38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2" s="2"/>
      </tp>
      <tp>
        <v>0</v>
        <stp/>
        <stp>##V3_BDHV12</stp>
        <stp>AMZN US Equity</stp>
        <stp>BS_PFD_EQTY_&amp;_HYBRID_CPTL</stp>
        <stp>FQ3 2006</stp>
        <stp>FQ3 2006</stp>
        <stp>[FA1_j2ahgkxc.xlsx]Bal Sheet - Standardized!R47C33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3"/>
      </tp>
      <tp>
        <v>0</v>
        <stp/>
        <stp>##V3_BDHV12</stp>
        <stp>AMZN US Equity</stp>
        <stp>BS_PFD_EQTY_&amp;_HYBRID_CPTL</stp>
        <stp>FQ1 2002</stp>
        <stp>FQ1 2002</stp>
        <stp>[FA1_j2ahgkxc.xlsx]Bal Sheet - Standardized!R47C15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3"/>
      </tp>
      <tp>
        <v>0</v>
        <stp/>
        <stp>##V3_BDHV12</stp>
        <stp>AMZN US Equity</stp>
        <stp>BS_PFD_EQTY_&amp;_HYBRID_CPTL</stp>
        <stp>FQ3 2007</stp>
        <stp>FQ3 2007</stp>
        <stp>[FA1_j2ahgkxc.xlsx]Bal Sheet - Standardized!R47C37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3"/>
      </tp>
      <tp>
        <v>0</v>
        <stp/>
        <stp>##V3_BDHV12</stp>
        <stp>AMZN US Equity</stp>
        <stp>BS_PFD_EQTY_&amp;_HYBRID_CPTL</stp>
        <stp>FQ2 2004</stp>
        <stp>FQ2 2004</stp>
        <stp>[FA1_j2ahgkxc.xlsx]Bal Sheet - Standardized!R47C24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3"/>
      </tp>
      <tp>
        <v>0</v>
        <stp/>
        <stp>##V3_BDHV12</stp>
        <stp>AMZN US Equity</stp>
        <stp>BS_PFD_EQTY_&amp;_HYBRID_CPTL</stp>
        <stp>FQ2 2003</stp>
        <stp>FQ2 2003</stp>
        <stp>[FA1_j2ahgkxc.xlsx]Bal Sheet - Standardized!R47C20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3"/>
      </tp>
      <tp>
        <v>0</v>
        <stp/>
        <stp>##V3_BDHV12</stp>
        <stp>AMZN US Equity</stp>
        <stp>BS_PFD_EQTY_&amp;_HYBRID_CPTL</stp>
        <stp>FQ1 2001</stp>
        <stp>FQ1 2001</stp>
        <stp>[FA1_j2ahgkxc.xlsx]Bal Sheet - Standardized!R47C11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3"/>
      </tp>
      <tp>
        <v>0</v>
        <stp/>
        <stp>##V3_BDHV12</stp>
        <stp>AMZN US Equity</stp>
        <stp>BS_PFD_EQTY_&amp;_HYBRID_CPTL</stp>
        <stp>FQ2 2005</stp>
        <stp>FQ2 2005</stp>
        <stp>[FA1_j2ahgkxc.xlsx]Bal Sheet - Standardized!R47C28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3"/>
      </tp>
      <tp t="s">
        <v>—</v>
        <stp/>
        <stp>##V3_BDHV12</stp>
        <stp>AMZN US Equity</stp>
        <stp>BS_PFD_EQTY_&amp;_HYBRID_CPTL</stp>
        <stp>FQ4 2008</stp>
        <stp>FQ4 2008</stp>
        <stp>[FA1_j2ahgkxc.xlsx]Bal Sheet - Standardized!R47C42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3"/>
      </tp>
      <tp>
        <v>0</v>
        <stp/>
        <stp>##V3_BDHV12</stp>
        <stp>AMZN US Equity</stp>
        <stp>BS_PFD_EQTY_&amp;_HYBRID_CPTL</stp>
        <stp>FQ1 2003</stp>
        <stp>FQ1 2003</stp>
        <stp>[FA1_j2ahgkxc.xlsx]Bal Sheet - Standardized!R47C19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3"/>
      </tp>
      <tp t="s">
        <v>—</v>
        <stp/>
        <stp>##V3_BDHV12</stp>
        <stp>AMZN US Equity</stp>
        <stp>NET_DEBT_TO_SHRHLDR_EQTY</stp>
        <stp>FQ4 2003</stp>
        <stp>FQ4 2003</stp>
        <stp>[FA1_j2ahgkxc.xlsx]Bal Sheet - Standardized!R66C22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6" s="3"/>
      </tp>
      <tp t="s">
        <v>—</v>
        <stp/>
        <stp>##V3_BDHV12</stp>
        <stp>AMZN US Equity</stp>
        <stp>NUM_OF_EMPLOYEES</stp>
        <stp>FQ1 2000</stp>
        <stp>FQ1 2000</stp>
        <stp>[FA1_j2ahgkxc.xlsx]Bal Sheet - Standardized!R70C8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0" s="3"/>
      </tp>
      <tp>
        <v>-0.96</v>
        <stp/>
        <stp>##V3_BDHV12</stp>
        <stp>AMZN US Equity</stp>
        <stp>IS_DILUTED_EPS</stp>
        <stp>FQ4 1999</stp>
        <stp>FQ4 1999</stp>
        <stp>[FA1_j2ahgkxc.xlsx]Income - Adjusted!R40C7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40" s="2"/>
      </tp>
      <tp>
        <v>-0.59</v>
        <stp/>
        <stp>##V3_BDHV12</stp>
        <stp>AMZN US Equity</stp>
        <stp>IS_DILUTED_EPS</stp>
        <stp>FQ3 1999</stp>
        <stp>FQ3 1999</stp>
        <stp>[FA1_j2ahgkxc.xlsx]Income - Adjusted!R40C6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40" s="2"/>
      </tp>
      <tp>
        <v>-0.43</v>
        <stp/>
        <stp>##V3_BDHV12</stp>
        <stp>AMZN US Equity</stp>
        <stp>IS_DILUTED_EPS</stp>
        <stp>FQ2 1999</stp>
        <stp>FQ2 1999</stp>
        <stp>[FA1_j2ahgkxc.xlsx]Income - Adjusted!R40C5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40" s="2"/>
      </tp>
      <tp>
        <v>-0.2</v>
        <stp/>
        <stp>##V3_BDHV12</stp>
        <stp>AMZN US Equity</stp>
        <stp>IS_DILUTED_EPS</stp>
        <stp>FQ1 1999</stp>
        <stp>FQ1 1999</stp>
        <stp>[FA1_j2ahgkxc.xlsx]Income - Adjusted!R40C4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40" s="2"/>
      </tp>
      <tp>
        <v>37.290999999999997</v>
        <stp/>
        <stp>##V3_BDHV12</stp>
        <stp>AMZN US Equity</stp>
        <stp>CF_NET_CHNG_CASH</stp>
        <stp>FQ2 1999</stp>
        <stp>FQ2 1999</stp>
        <stp>[FA1_j2ahgkxc.xlsx]Cash Flow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4"/>
      </tp>
      <tp>
        <v>0.60399999999999998</v>
        <stp/>
        <stp>##V3_BDHV12</stp>
        <stp>AMZN US Equity</stp>
        <stp>CF_NET_CHNG_CASH</stp>
        <stp>FQ3 1999</stp>
        <stp>FQ3 1999</stp>
        <stp>[FA1_j2ahgkxc.xlsx]Cash Flow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4"/>
      </tp>
      <tp>
        <v>0</v>
        <stp/>
        <stp>##V3_BDHV12</stp>
        <stp>AMZN US Equity</stp>
        <stp>BS_NUM_OF_TSY_SH</stp>
        <stp>FQ2 2004</stp>
        <stp>FQ2 2004</stp>
        <stp>[FA1_j2ahgkxc.xlsx]Bal Sheet - Standardized!R60C24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0" s="3"/>
      </tp>
      <tp>
        <v>0</v>
        <stp/>
        <stp>##V3_BDHV12</stp>
        <stp>AMZN US Equity</stp>
        <stp>BS_NUM_OF_TSY_SH</stp>
        <stp>FQ3 2004</stp>
        <stp>FQ3 2004</stp>
        <stp>[FA1_j2ahgkxc.xlsx]Bal Sheet - Standardized!R60C25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0" s="3"/>
      </tp>
      <tp>
        <v>-20.306999999999999</v>
        <stp/>
        <stp>##V3_BDHV12</stp>
        <stp>AMZN US Equity</stp>
        <stp>CF_NET_CHNG_CASH</stp>
        <stp>FQ1 1999</stp>
        <stp>FQ1 1999</stp>
        <stp>[FA1_j2ahgkxc.xlsx]Cash Flow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4"/>
      </tp>
      <tp>
        <v>44.137999999999998</v>
        <stp/>
        <stp>##V3_BDHV12</stp>
        <stp>AMZN US Equity</stp>
        <stp>CF_NET_CHNG_CASH</stp>
        <stp>FQ4 1999</stp>
        <stp>FQ4 1999</stp>
        <stp>[FA1_j2ahgkxc.xlsx]Cash Flow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4"/>
      </tp>
      <tp>
        <v>36.313000000000002</v>
        <stp/>
        <stp>##V3_BDHV12</stp>
        <stp>AMZN US Equity</stp>
        <stp>PX_LAST</stp>
        <stp>FQ2 2000</stp>
        <stp>FQ2 2000</stp>
        <stp>[FA1_j2ahgkxc.xlsx]Stock Value!R6C8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6"/>
      </tp>
      <tp>
        <v>0.27</v>
        <stp/>
        <stp>##V3_BDHV12</stp>
        <stp>AMZN US Equity</stp>
        <stp>IS_DIL_EPS_CONT_OPS</stp>
        <stp>FQ3 2008</stp>
        <stp>FQ3 2008</stp>
        <stp>[FA1_j2ahgkxc.xlsx]Per Share!R19C41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9" s="5"/>
      </tp>
      <tp>
        <v>1521</v>
        <stp/>
        <stp>##V3_BDHV12</stp>
        <stp>AMZN US Equity</stp>
        <stp>BS_LT_BORROW</stp>
        <stp>FQ4 2005</stp>
        <stp>FQ4 2005</stp>
        <stp>[FA1_j2ahgkxc.xlsx]Bal Sheet - Standardized!R40C30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0" s="3"/>
      </tp>
      <tp>
        <v>990</v>
        <stp/>
        <stp>##V3_BDHV12</stp>
        <stp>AMZN US Equity</stp>
        <stp>BS_TOT_NON_CUR_ASSET</stp>
        <stp>FQ4 2006</stp>
        <stp>FQ4 2006</stp>
        <stp>[FA1_j2ahgkxc.xlsx]Bal Sheet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3"/>
      </tp>
      <tp>
        <v>17.972000000000001</v>
        <stp/>
        <stp>##V3_BDHV12</stp>
        <stp>AMZN US Equity</stp>
        <stp>BS_LT_INVEST</stp>
        <stp>FQ4 2001</stp>
        <stp>FQ4 2001</stp>
        <stp>[FA1_j2ahgkxc.xlsx]Bal Sheet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3"/>
      </tp>
      <tp>
        <v>58.438000000000002</v>
        <stp/>
        <stp>##V3_BDHV12</stp>
        <stp>AMZN US Equity</stp>
        <stp>PX_LOW</stp>
        <stp>FQ1 2000</stp>
        <stp>FQ1 2000</stp>
        <stp>[FA1_j2ahgkxc.xlsx]Stock Value!R10C7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0" s="6"/>
      </tp>
      <tp>
        <v>767</v>
        <stp/>
        <stp>##V3_BDHV12</stp>
        <stp>AMZN US Equity</stp>
        <stp>BS_TOT_NON_CUR_ASSET</stp>
        <stp>FQ4 2005</stp>
        <stp>FQ4 2005</stp>
        <stp>[FA1_j2ahgkxc.xlsx]Bal Sheet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3"/>
      </tp>
      <tp>
        <v>40.177</v>
        <stp/>
        <stp>##V3_BDHV12</stp>
        <stp>AMZN US Equity</stp>
        <stp>BS_LT_INVEST</stp>
        <stp>FQ4 2000</stp>
        <stp>FQ4 2000</stp>
        <stp>[FA1_j2ahgkxc.xlsx]Bal Sheet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3"/>
      </tp>
      <tp>
        <v>1247</v>
        <stp/>
        <stp>##V3_BDHV12</stp>
        <stp>AMZN US Equity</stp>
        <stp>BS_LT_BORROW</stp>
        <stp>FQ4 2006</stp>
        <stp>FQ4 2006</stp>
        <stp>[FA1_j2ahgkxc.xlsx]Bal Sheet - Standardized!R40C34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0" s="3"/>
      </tp>
      <tp>
        <v>1282</v>
        <stp/>
        <stp>##V3_BDHV12</stp>
        <stp>AMZN US Equity</stp>
        <stp>BS_LT_BORROW</stp>
        <stp>FQ4 2007</stp>
        <stp>FQ4 2007</stp>
        <stp>[FA1_j2ahgkxc.xlsx]Bal Sheet - Standardized!R40C38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0" s="3"/>
      </tp>
      <tp>
        <v>393</v>
        <stp/>
        <stp>##V3_BDHV12</stp>
        <stp>AMZN US Equity</stp>
        <stp>BS_LT_BORROW</stp>
        <stp>FQ3 2008</stp>
        <stp>FQ3 2008</stp>
        <stp>[FA1_j2ahgkxc.xlsx]Bal Sheet - Standardized!R40C41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0" s="3"/>
      </tp>
      <tp>
        <v>1321</v>
        <stp/>
        <stp>##V3_BDHV12</stp>
        <stp>AMZN US Equity</stp>
        <stp>BS_TOT_NON_CUR_ASSET</stp>
        <stp>FQ4 2007</stp>
        <stp>FQ4 2007</stp>
        <stp>[FA1_j2ahgkxc.xlsx]Bal Sheet - Standardized!R28C38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3"/>
      </tp>
      <tp>
        <v>2136</v>
        <stp/>
        <stp>##V3_BDHV12</stp>
        <stp>AMZN US Equity</stp>
        <stp>BS_TOT_NON_CUR_ASSET</stp>
        <stp>FQ3 2008</stp>
        <stp>FQ3 2008</stp>
        <stp>[FA1_j2ahgkxc.xlsx]Bal Sheet - Standardized!R28C41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3"/>
      </tp>
      <tp>
        <v>15.006</v>
        <stp/>
        <stp>##V3_BDHV12</stp>
        <stp>AMZN US Equity</stp>
        <stp>BS_LT_INVEST</stp>
        <stp>FQ4 2002</stp>
        <stp>FQ4 2002</stp>
        <stp>[FA1_j2ahgkxc.xlsx]Bal Sheet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3"/>
      </tp>
      <tp>
        <v>106</v>
        <stp/>
        <stp>##V3_BDHV12</stp>
        <stp>AMZN US Equity</stp>
        <stp>EBIT</stp>
        <stp>FQ1 2006</stp>
        <stp>FQ1 2006</stp>
        <stp>[FA1_j2ahgkxc.xlsx]Income - Adjusted!R49C31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9" s="2"/>
      </tp>
      <tp>
        <v>110.435</v>
        <stp/>
        <stp>##V3_BDHV12</stp>
        <stp>AMZN US Equity</stp>
        <stp>EBIT</stp>
        <stp>FQ1 2004</stp>
        <stp>FQ1 2004</stp>
        <stp>[FA1_j2ahgkxc.xlsx]Income - Adjusted!R49C23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9" s="2"/>
      </tp>
      <tp>
        <v>11.747999999999999</v>
        <stp/>
        <stp>##V3_BDHV12</stp>
        <stp>AMZN US Equity</stp>
        <stp>EBIT</stp>
        <stp>FQ1 2002</stp>
        <stp>FQ1 2002</stp>
        <stp>[FA1_j2ahgkxc.xlsx]Income - Adjusted!R49C15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9" s="2"/>
      </tp>
      <tp>
        <v>0</v>
        <stp/>
        <stp>##V3_BDHV12</stp>
        <stp>AMZN US Equity</stp>
        <stp>INVTRY_RAW_MATERIALS</stp>
        <stp>FQ3 2004</stp>
        <stp>FQ3 2004</stp>
        <stp>[FA1_j2ahgkxc.xlsx]Bal Sheet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3"/>
      </tp>
      <tp>
        <v>0</v>
        <stp/>
        <stp>##V3_BDHV12</stp>
        <stp>AMZN US Equity</stp>
        <stp>INVTRY_RAW_MATERIALS</stp>
        <stp>FQ2 2007</stp>
        <stp>FQ2 2007</stp>
        <stp>[FA1_j2ahgkxc.xlsx]Bal Sheet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3"/>
      </tp>
      <tp>
        <v>0</v>
        <stp/>
        <stp>##V3_BDHV12</stp>
        <stp>AMZN US Equity</stp>
        <stp>INVTRY_RAW_MATERIALS</stp>
        <stp>FQ3 2003</stp>
        <stp>FQ3 2003</stp>
        <stp>[FA1_j2ahgkxc.xlsx]Bal Sheet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3"/>
      </tp>
      <tp>
        <v>0</v>
        <stp/>
        <stp>##V3_BDHV12</stp>
        <stp>AMZN US Equity</stp>
        <stp>INVTRY_RAW_MATERIALS</stp>
        <stp>FQ2 2006</stp>
        <stp>FQ2 2006</stp>
        <stp>[FA1_j2ahgkxc.xlsx]Bal Sheet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3"/>
      </tp>
      <tp>
        <v>1.8021</v>
        <stp/>
        <stp>##V3_BDHV12</stp>
        <stp>AMZN US Equity</stp>
        <stp>REVENUE_PER_SH</stp>
        <stp>FQ3 2000</stp>
        <stp>FQ3 2000</stp>
        <stp>[FA1_j2ahgkxc.xlsx]Per Share!R11C9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1" s="5"/>
      </tp>
      <tp>
        <v>1.6688000000000001</v>
        <stp/>
        <stp>##V3_BDHV12</stp>
        <stp>AMZN US Equity</stp>
        <stp>REVENUE_PER_SH</stp>
        <stp>FQ1 2000</stp>
        <stp>FQ1 2000</stp>
        <stp>[FA1_j2ahgkxc.xlsx]Per Share!R11C8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1" s="5"/>
      </tp>
      <tp>
        <v>-0.46</v>
        <stp/>
        <stp>##V3_BDHV12</stp>
        <stp>AMZN US Equity</stp>
        <stp>IS_EARN_BEF_XO_ITEMS_PER_SH</stp>
        <stp>FQ3 2001</stp>
        <stp>FQ3 2001</stp>
        <stp>[FA1_j2ahgkxc.xlsx]Income - Adjusted!R36C13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6" s="2"/>
      </tp>
      <tp>
        <v>0.04</v>
        <stp/>
        <stp>##V3_BDHV12</stp>
        <stp>AMZN US Equity</stp>
        <stp>IS_EARN_BEF_XO_ITEMS_PER_SH</stp>
        <stp>FQ3 2003</stp>
        <stp>FQ3 2003</stp>
        <stp>[FA1_j2ahgkxc.xlsx]Income - Adjusted!R36C21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6" s="2"/>
      </tp>
      <tp>
        <v>0.27</v>
        <stp/>
        <stp>##V3_BDHV12</stp>
        <stp>AMZN US Equity</stp>
        <stp>IS_EARN_BEF_XO_ITEMS_PER_SH</stp>
        <stp>FQ1 2007</stp>
        <stp>FQ1 2007</stp>
        <stp>[FA1_j2ahgkxc.xlsx]Income - Adjusted!R36C35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6" s="2"/>
      </tp>
      <tp>
        <v>0.13</v>
        <stp/>
        <stp>##V3_BDHV12</stp>
        <stp>AMZN US Equity</stp>
        <stp>IS_EARN_BEF_XO_ITEMS_PER_SH</stp>
        <stp>FQ1 2005</stp>
        <stp>FQ1 2005</stp>
        <stp>[FA1_j2ahgkxc.xlsx]Income - Adjusted!R36C27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6" s="2"/>
      </tp>
      <tp>
        <v>0.24</v>
        <stp/>
        <stp>##V3_BDHV12</stp>
        <stp>AMZN US Equity</stp>
        <stp>IS_EARN_BEF_XO_ITEMS_PER_SH</stp>
        <stp>FQ4 2006</stp>
        <stp>FQ4 2006</stp>
        <stp>[FA1_j2ahgkxc.xlsx]Income - Adjusted!R36C34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6" s="2"/>
      </tp>
      <tp>
        <v>0.85</v>
        <stp/>
        <stp>##V3_BDHV12</stp>
        <stp>AMZN US Equity</stp>
        <stp>IS_EARN_BEF_XO_ITEMS_PER_SH</stp>
        <stp>FQ4 2004</stp>
        <stp>FQ4 2004</stp>
        <stp>[FA1_j2ahgkxc.xlsx]Income - Adjusted!R36C26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6" s="2"/>
      </tp>
      <tp>
        <v>0</v>
        <stp/>
        <stp>##V3_BDHV12</stp>
        <stp>AMZN US Equity</stp>
        <stp>IS_FOREIGN_EXCH_LOSS</stp>
        <stp>FQ2 2001</stp>
        <stp>FQ2 2001</stp>
        <stp>[FA1_j2ahgkxc.xlsx]Income - Adjusted!R16C12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6" s="2"/>
      </tp>
      <tp>
        <v>0</v>
        <stp/>
        <stp>##V3_BDHV12</stp>
        <stp>AMZN US Equity</stp>
        <stp>IS_FOREIGN_EXCH_LOSS</stp>
        <stp>FQ2 2003</stp>
        <stp>FQ2 2003</stp>
        <stp>[FA1_j2ahgkxc.xlsx]Income - Adjusted!R16C20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6" s="2"/>
      </tp>
      <tp>
        <v>0</v>
        <stp/>
        <stp>##V3_BDHV12</stp>
        <stp>AMZN US Equity</stp>
        <stp>INVTRY_RAW_MATERIALS</stp>
        <stp>FQ3 2005</stp>
        <stp>FQ3 2005</stp>
        <stp>[FA1_j2ahgkxc.xlsx]Bal Sheet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3"/>
      </tp>
      <tp t="s">
        <v>—</v>
        <stp/>
        <stp>##V3_BDHV12</stp>
        <stp>AMZN US Equity</stp>
        <stp>IS_IMPAIRMENT_GOODWILL_INTANGIBL</stp>
        <stp>FQ3 2000</stp>
        <stp>FQ3 2000</stp>
        <stp>[FA1_j2ahgkxc.xlsx]Income - Adjusted!R19C9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2"/>
      </tp>
      <tp>
        <v>0</v>
        <stp/>
        <stp>##V3_BDHV12</stp>
        <stp>AMZN US Equity</stp>
        <stp>EQY_DPS</stp>
        <stp>FQ3 2000</stp>
        <stp>FQ3 2000</stp>
        <stp>[FA1_j2ahgkxc.xlsx]Per Share!R20C9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0" s="5"/>
      </tp>
      <tp t="s">
        <v>—</v>
        <stp/>
        <stp>##V3_BDHV12</stp>
        <stp>AMZN US Equity</stp>
        <stp>IS_IMPAIRMENT_GOODWILL_INTANGIBL</stp>
        <stp>FQ3 1999</stp>
        <stp>FQ3 1999</stp>
        <stp>[FA1_j2ahgkxc.xlsx]Income - Adjusted!R19C6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2"/>
      </tp>
      <tp>
        <v>0</v>
        <stp/>
        <stp>##V3_BDHV12</stp>
        <stp>AMZN US Equity</stp>
        <stp>CF_DVD_PAID</stp>
        <stp>FQ4 2000</stp>
        <stp>FQ4 2000</stp>
        <stp>[FA1_j2ahgkxc.xlsx]Cash Flow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4"/>
      </tp>
      <tp>
        <v>1.5184</v>
        <stp/>
        <stp>##V3_BDHV12</stp>
        <stp>AMZN US Equity</stp>
        <stp>CUR_RATIO</stp>
        <stp>FQ4 2005</stp>
        <stp>FQ4 2005</stp>
        <stp>[FA1_j2ahgkxc.xlsx]Bal Sheet - Standardized!R68C30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8" s="3"/>
      </tp>
      <tp>
        <v>1.7057</v>
        <stp/>
        <stp>##V3_BDHV12</stp>
        <stp>AMZN US Equity</stp>
        <stp>CUR_RATIO</stp>
        <stp>FQ3 2003</stp>
        <stp>FQ3 2003</stp>
        <stp>[FA1_j2ahgkxc.xlsx]Bal Sheet - Standardized!R68C21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8" s="3"/>
      </tp>
      <tp>
        <v>1.6263000000000001</v>
        <stp/>
        <stp>##V3_BDHV12</stp>
        <stp>AMZN US Equity</stp>
        <stp>CUR_RATIO</stp>
        <stp>FQ2 2003</stp>
        <stp>FQ2 2003</stp>
        <stp>[FA1_j2ahgkxc.xlsx]Bal Sheet - Standardized!R68C20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8" s="3"/>
      </tp>
      <tp>
        <v>1.3109</v>
        <stp/>
        <stp>##V3_BDHV12</stp>
        <stp>AMZN US Equity</stp>
        <stp>CUR_RATIO</stp>
        <stp>FQ4 2001</stp>
        <stp>FQ4 2001</stp>
        <stp>[FA1_j2ahgkxc.xlsx]Bal Sheet - Standardized!R68C14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8" s="3"/>
      </tp>
      <tp>
        <v>1.4151</v>
        <stp/>
        <stp>##V3_BDHV12</stp>
        <stp>AMZN US Equity</stp>
        <stp>CUR_RATIO</stp>
        <stp>FQ1 2001</stp>
        <stp>FQ1 2001</stp>
        <stp>[FA1_j2ahgkxc.xlsx]Bal Sheet - Standardized!R68C11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8" s="3"/>
      </tp>
      <tp>
        <v>1.2484999999999999</v>
        <stp/>
        <stp>##V3_BDHV12</stp>
        <stp>AMZN US Equity</stp>
        <stp>CUR_RATIO</stp>
        <stp>FQ2 2001</stp>
        <stp>FQ2 2001</stp>
        <stp>[FA1_j2ahgkxc.xlsx]Bal Sheet - Standardized!R68C12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8" s="3"/>
      </tp>
      <tp>
        <v>1.3854</v>
        <stp/>
        <stp>##V3_BDHV12</stp>
        <stp>AMZN US Equity</stp>
        <stp>CUR_RATIO</stp>
        <stp>FQ3 2001</stp>
        <stp>FQ3 2001</stp>
        <stp>[FA1_j2ahgkxc.xlsx]Bal Sheet - Standardized!R68C13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8" s="3"/>
      </tp>
      <tp>
        <v>0</v>
        <stp/>
        <stp>##V3_BDHV12</stp>
        <stp>AMZN US Equity</stp>
        <stp>CF_DVD_PAID</stp>
        <stp>FQ4 2001</stp>
        <stp>FQ4 2001</stp>
        <stp>[FA1_j2ahgkxc.xlsx]Cash Flow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4"/>
      </tp>
      <tp>
        <v>0</v>
        <stp/>
        <stp>##V3_BDHV12</stp>
        <stp>AMZN US Equity</stp>
        <stp>CF_DVD_PAID</stp>
        <stp>FQ4 2002</stp>
        <stp>FQ4 2002</stp>
        <stp>[FA1_j2ahgkxc.xlsx]Cash Flow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4"/>
      </tp>
      <tp t="s">
        <v>—</v>
        <stp/>
        <stp>##V3_BDHV12</stp>
        <stp>AMZN US Equity</stp>
        <stp>IS_SELLING_EXPENSES</stp>
        <stp>FQ1 2000</stp>
        <stp>FQ1 2000</stp>
        <stp>[FA1_j2ahgkxc.xlsx]Income - Adjusted!R11C8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>
        <v>322.74200000000002</v>
        <stp/>
        <stp>##V3_BDHV12</stp>
        <stp>AMZN US Equity</stp>
        <stp>BS_SH_OUT</stp>
        <stp>FQ1 1999</stp>
        <stp>FQ1 1999</stp>
        <stp>[FA1_j2ahgkxc.xlsx]Per Share!R6C4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5"/>
      </tp>
      <tp>
        <v>340.78699999999998</v>
        <stp/>
        <stp>##V3_BDHV12</stp>
        <stp>AMZN US Equity</stp>
        <stp>BS_SH_OUT</stp>
        <stp>FQ3 1999</stp>
        <stp>FQ3 1999</stp>
        <stp>[FA1_j2ahgkxc.xlsx]Per Share!R6C6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5"/>
      </tp>
      <tp>
        <v>0</v>
        <stp/>
        <stp>##V3_BDHV12</stp>
        <stp>AMZN US Equity</stp>
        <stp>BS_PFD_EQTY_&amp;_HYBRID_CPTL</stp>
        <stp>FQ2 2006</stp>
        <stp>FQ2 2006</stp>
        <stp>[FA1_j2ahgkxc.xlsx]Bal Sheet - Standardized!R47C32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3"/>
      </tp>
      <tp>
        <v>0</v>
        <stp/>
        <stp>##V3_BDHV12</stp>
        <stp>AMZN US Equity</stp>
        <stp>BS_PFD_EQTY_&amp;_HYBRID_CPTL</stp>
        <stp>FQ2 2007</stp>
        <stp>FQ2 2007</stp>
        <stp>[FA1_j2ahgkxc.xlsx]Bal Sheet - Standardized!R47C36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3"/>
      </tp>
      <tp>
        <v>0</v>
        <stp/>
        <stp>##V3_BDHV12</stp>
        <stp>AMZN US Equity</stp>
        <stp>BS_PFD_EQTY_&amp;_HYBRID_CPTL</stp>
        <stp>FQ3 2004</stp>
        <stp>FQ3 2004</stp>
        <stp>[FA1_j2ahgkxc.xlsx]Bal Sheet - Standardized!R47C25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3"/>
      </tp>
      <tp>
        <v>0</v>
        <stp/>
        <stp>##V3_BDHV12</stp>
        <stp>AMZN US Equity</stp>
        <stp>BS_PFD_EQTY_&amp;_HYBRID_CPTL</stp>
        <stp>FQ3 2003</stp>
        <stp>FQ3 2003</stp>
        <stp>[FA1_j2ahgkxc.xlsx]Bal Sheet - Standardized!R47C21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3"/>
      </tp>
      <tp>
        <v>0</v>
        <stp/>
        <stp>##V3_BDHV12</stp>
        <stp>AMZN US Equity</stp>
        <stp>BS_PFD_EQTY_&amp;_HYBRID_CPTL</stp>
        <stp>FQ3 2005</stp>
        <stp>FQ3 2005</stp>
        <stp>[FA1_j2ahgkxc.xlsx]Bal Sheet - Standardized!R47C29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3"/>
      </tp>
      <tp t="s">
        <v>—</v>
        <stp/>
        <stp>##V3_BDHV12</stp>
        <stp>AMZN US Equity</stp>
        <stp>NET_DEBT_TO_SHRHLDR_EQTY</stp>
        <stp>FQ4 2000</stp>
        <stp>FQ4 2000</stp>
        <stp>[FA1_j2ahgkxc.xlsx]Bal Sheet - Standardized!R66C10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6" s="3"/>
      </tp>
      <tp>
        <v>-81.085999999999999</v>
        <stp/>
        <stp>##V3_BDHV12</stp>
        <stp>AMZN US Equity</stp>
        <stp>EBITDA</stp>
        <stp>FQ1 2000</stp>
        <stp>FQ1 2000</stp>
        <stp>[FA1_j2ahgkxc.xlsx]Cash Flow - Standardized!R45C7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5" s="4"/>
      </tp>
      <tp>
        <v>-69.587999999999994</v>
        <stp/>
        <stp>##V3_BDHV12</stp>
        <stp>AMZN US Equity</stp>
        <stp>EBITDA</stp>
        <stp>FQ3 1999</stp>
        <stp>FQ3 1999</stp>
        <stp>[FA1_j2ahgkxc.xlsx]Cash Flow - Standardized!R45C5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5" s="4"/>
      </tp>
      <tp>
        <v>-100.96899999999999</v>
        <stp/>
        <stp>##V3_BDHV12</stp>
        <stp>AMZN US Equity</stp>
        <stp>EBITDA</stp>
        <stp>FQ2 1999</stp>
        <stp>FQ2 1999</stp>
        <stp>[FA1_j2ahgkxc.xlsx]Cash Flow - Standardized!R45C4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5" s="4"/>
      </tp>
      <tp>
        <v>-0.15</v>
        <stp/>
        <stp>##V3_BDHV12</stp>
        <stp>AMZN US Equity</stp>
        <stp>IS_DILUTED_EPS</stp>
        <stp>FQ4 1998</stp>
        <stp>FQ4 1998</stp>
        <stp>[FA1_j2ahgkxc.xlsx]Income - Adjusted!R40C3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40" s="2"/>
      </tp>
      <tp>
        <v>0</v>
        <stp/>
        <stp>##V3_BDHV12</stp>
        <stp>AMZN US Equity</stp>
        <stp>BS_NUM_OF_TSY_SH</stp>
        <stp>FQ1 2005</stp>
        <stp>FQ1 2005</stp>
        <stp>[FA1_j2ahgkxc.xlsx]Bal Sheet - Standardized!R60C27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0" s="3"/>
      </tp>
      <tp>
        <v>14</v>
        <stp/>
        <stp>##V3_BDHV12</stp>
        <stp>AMZN US Equity</stp>
        <stp>BS_NUM_OF_TSY_SH</stp>
        <stp>FQ3 2007</stp>
        <stp>FQ3 2007</stp>
        <stp>[FA1_j2ahgkxc.xlsx]Bal Sheet - Standardized!R60C37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0" s="3"/>
      </tp>
      <tp>
        <v>14</v>
        <stp/>
        <stp>##V3_BDHV12</stp>
        <stp>AMZN US Equity</stp>
        <stp>BS_NUM_OF_TSY_SH</stp>
        <stp>FQ2 2007</stp>
        <stp>FQ2 2007</stp>
        <stp>[FA1_j2ahgkxc.xlsx]Bal Sheet - Standardized!R60C36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0" s="3"/>
      </tp>
      <tp>
        <v>15</v>
        <stp/>
        <stp>##V3_BDHV12</stp>
        <stp>AMZN US Equity</stp>
        <stp>BS_NUM_OF_TSY_SH</stp>
        <stp>FQ1 2007</stp>
        <stp>FQ1 2007</stp>
        <stp>[FA1_j2ahgkxc.xlsx]Bal Sheet - Standardized!R60C35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0" s="3"/>
      </tp>
      <tp>
        <v>86.093999999999994</v>
        <stp/>
        <stp>##V3_BDHV12</stp>
        <stp>AMZN US Equity</stp>
        <stp>PX_LAST</stp>
        <stp>FQ1 1999</stp>
        <stp>FQ1 1999</stp>
        <stp>[FA1_j2ahgkxc.xlsx]Stock Value!R6C3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6"/>
      </tp>
      <tp t="s">
        <v>—</v>
        <stp/>
        <stp>##V3_BDHV12</stp>
        <stp>AMZN US Equity</stp>
        <stp>CF_ACCT_RCV_UNBILLED_REV</stp>
        <stp>FQ3 2000</stp>
        <stp>FQ3 2000</stp>
        <stp>[FA1_j2ahgkxc.xlsx]Cash Flow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4"/>
      </tp>
      <tp t="s">
        <v>—</v>
        <stp/>
        <stp>##V3_BDHV12</stp>
        <stp>AMZN US Equity</stp>
        <stp>CF_ACCT_RCV_UNBILLED_REV</stp>
        <stp>FQ2 2000</stp>
        <stp>FQ2 2000</stp>
        <stp>[FA1_j2ahgkxc.xlsx]Cash Flow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4"/>
      </tp>
      <tp t="s">
        <v>—</v>
        <stp/>
        <stp>##V3_BDHV12</stp>
        <stp>AMZN US Equity</stp>
        <stp>CF_ACCT_RCV_UNBILLED_REV</stp>
        <stp>FQ1 2000</stp>
        <stp>FQ1 2000</stp>
        <stp>[FA1_j2ahgkxc.xlsx]Cash Flow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4"/>
      </tp>
      <tp>
        <v>-0.2</v>
        <stp/>
        <stp>##V3_BDHV12</stp>
        <stp>AMZN US Equity</stp>
        <stp>IS_EARN_BEF_XO_ITEMS_PER_SH</stp>
        <stp>FQ1 1999</stp>
        <stp>FQ1 1999</stp>
        <stp>[FA1_j2ahgkxc.xlsx]Income - Adjusted!R36C4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6" s="2"/>
      </tp>
      <tp>
        <v>-0.59</v>
        <stp/>
        <stp>##V3_BDHV12</stp>
        <stp>AMZN US Equity</stp>
        <stp>IS_EARN_BEF_XO_ITEMS_PER_SH</stp>
        <stp>FQ3 1999</stp>
        <stp>FQ3 1999</stp>
        <stp>[FA1_j2ahgkxc.xlsx]Income - Adjusted!R36C6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6" s="2"/>
      </tp>
      <tp>
        <v>38.438000000000002</v>
        <stp/>
        <stp>##V3_BDHV12</stp>
        <stp>AMZN US Equity</stp>
        <stp>PX_LAST</stp>
        <stp>FQ3 2000</stp>
        <stp>FQ3 2000</stp>
        <stp>[FA1_j2ahgkxc.xlsx]Stock Value!R6C9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6"/>
      </tp>
      <tp>
        <v>0.27</v>
        <stp/>
        <stp>##V3_BDHV12</stp>
        <stp>AMZN US Equity</stp>
        <stp>IS_DIL_EPS_CONT_OPS</stp>
        <stp>FQ2 2008</stp>
        <stp>FQ2 2008</stp>
        <stp>[FA1_j2ahgkxc.xlsx]Per Share!R19C40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9" s="5"/>
      </tp>
      <tp>
        <v>709.11199999999997</v>
        <stp/>
        <stp>##V3_BDHV12</stp>
        <stp>AMZN US Equity</stp>
        <stp>BS_TOT_NON_CUR_ASSET</stp>
        <stp>FQ4 2004</stp>
        <stp>FQ4 2004</stp>
        <stp>[FA1_j2ahgkxc.xlsx]Bal Sheet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3"/>
      </tp>
      <tp>
        <v>341.22399999999999</v>
        <stp/>
        <stp>##V3_BDHV12</stp>
        <stp>AMZN US Equity</stp>
        <stp>BS_TOT_NON_CUR_ASSET</stp>
        <stp>FQ4 2003</stp>
        <stp>FQ4 2003</stp>
        <stp>[FA1_j2ahgkxc.xlsx]Bal Sheet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3"/>
      </tp>
      <tp>
        <v>1945.4390000000001</v>
        <stp/>
        <stp>##V3_BDHV12</stp>
        <stp>AMZN US Equity</stp>
        <stp>BS_LT_BORROW</stp>
        <stp>FQ4 2003</stp>
        <stp>FQ4 2003</stp>
        <stp>[FA1_j2ahgkxc.xlsx]Bal Sheet - Standardized!R40C22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0" s="3"/>
      </tp>
      <tp>
        <v>1855.319</v>
        <stp/>
        <stp>##V3_BDHV12</stp>
        <stp>AMZN US Equity</stp>
        <stp>BS_LT_BORROW</stp>
        <stp>FQ4 2004</stp>
        <stp>FQ4 2004</stp>
        <stp>[FA1_j2ahgkxc.xlsx]Bal Sheet - Standardized!R40C26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0" s="3"/>
      </tp>
      <tp>
        <v>433</v>
        <stp/>
        <stp>##V3_BDHV12</stp>
        <stp>AMZN US Equity</stp>
        <stp>BS_LT_BORROW</stp>
        <stp>FQ2 2008</stp>
        <stp>FQ2 2008</stp>
        <stp>[FA1_j2ahgkxc.xlsx]Bal Sheet - Standardized!R40C40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0" s="3"/>
      </tp>
      <tp>
        <v>2086</v>
        <stp/>
        <stp>##V3_BDHV12</stp>
        <stp>AMZN US Equity</stp>
        <stp>BS_TOT_NON_CUR_ASSET</stp>
        <stp>FQ2 2008</stp>
        <stp>FQ2 2008</stp>
        <stp>[FA1_j2ahgkxc.xlsx]Bal Sheet - Standardized!R28C40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3"/>
      </tp>
      <tp>
        <v>0</v>
        <stp/>
        <stp>##V3_BDHV12</stp>
        <stp>AMZN US Equity</stp>
        <stp>INVTRY_RAW_MATERIALS</stp>
        <stp>FQ2 2004</stp>
        <stp>FQ2 2004</stp>
        <stp>[FA1_j2ahgkxc.xlsx]Bal Sheet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3"/>
      </tp>
      <tp>
        <v>0</v>
        <stp/>
        <stp>##V3_BDHV12</stp>
        <stp>AMZN US Equity</stp>
        <stp>INVTRY_RAW_MATERIALS</stp>
        <stp>FQ3 2007</stp>
        <stp>FQ3 2007</stp>
        <stp>[FA1_j2ahgkxc.xlsx]Bal Sheet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3"/>
      </tp>
      <tp>
        <v>0</v>
        <stp/>
        <stp>##V3_BDHV12</stp>
        <stp>AMZN US Equity</stp>
        <stp>INVTRY_RAW_MATERIALS</stp>
        <stp>FQ1 2001</stp>
        <stp>FQ1 2001</stp>
        <stp>[FA1_j2ahgkxc.xlsx]Bal Sheet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3"/>
      </tp>
      <tp>
        <v>0</v>
        <stp/>
        <stp>##V3_BDHV12</stp>
        <stp>AMZN US Equity</stp>
        <stp>INVTRY_RAW_MATERIALS</stp>
        <stp>FQ2 2003</stp>
        <stp>FQ2 2003</stp>
        <stp>[FA1_j2ahgkxc.xlsx]Bal Sheet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3"/>
      </tp>
      <tp>
        <v>0</v>
        <stp/>
        <stp>##V3_BDHV12</stp>
        <stp>AMZN US Equity</stp>
        <stp>INVTRY_RAW_MATERIALS</stp>
        <stp>FQ3 2006</stp>
        <stp>FQ3 2006</stp>
        <stp>[FA1_j2ahgkxc.xlsx]Bal Sheet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3"/>
      </tp>
      <tp>
        <v>0</v>
        <stp/>
        <stp>##V3_BDHV12</stp>
        <stp>AMZN US Equity</stp>
        <stp>INVTRY_RAW_MATERIALS</stp>
        <stp>FQ1 2002</stp>
        <stp>FQ1 2002</stp>
        <stp>[FA1_j2ahgkxc.xlsx]Bal Sheet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3"/>
      </tp>
      <tp>
        <v>-0.11</v>
        <stp/>
        <stp>##V3_BDHV12</stp>
        <stp>AMZN US Equity</stp>
        <stp>IS_EARN_BEF_XO_ITEMS_PER_SH</stp>
        <stp>FQ2 2003</stp>
        <stp>FQ2 2003</stp>
        <stp>[FA1_j2ahgkxc.xlsx]Income - Adjusted!R36C20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6" s="2"/>
      </tp>
      <tp>
        <v>-0.47</v>
        <stp/>
        <stp>##V3_BDHV12</stp>
        <stp>AMZN US Equity</stp>
        <stp>IS_EARN_BEF_XO_ITEMS_PER_SH</stp>
        <stp>FQ2 2001</stp>
        <stp>FQ2 2001</stp>
        <stp>[FA1_j2ahgkxc.xlsx]Income - Adjusted!R36C12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6" s="2"/>
      </tp>
      <tp>
        <v>0</v>
        <stp/>
        <stp>##V3_BDHV12</stp>
        <stp>AMZN US Equity</stp>
        <stp>IS_FOREIGN_EXCH_LOSS</stp>
        <stp>FQ4 2006</stp>
        <stp>FQ4 2006</stp>
        <stp>[FA1_j2ahgkxc.xlsx]Income - Adjusted!R16C34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6" s="2"/>
      </tp>
      <tp>
        <v>3.6</v>
        <stp/>
        <stp>##V3_BDHV12</stp>
        <stp>AMZN US Equity</stp>
        <stp>IS_FOREIGN_EXCH_LOSS</stp>
        <stp>FQ4 2004</stp>
        <stp>FQ4 2004</stp>
        <stp>[FA1_j2ahgkxc.xlsx]Income - Adjusted!R16C26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6" s="2"/>
      </tp>
      <tp>
        <v>0</v>
        <stp/>
        <stp>##V3_BDHV12</stp>
        <stp>AMZN US Equity</stp>
        <stp>IS_FOREIGN_EXCH_LOSS</stp>
        <stp>FQ1 2007</stp>
        <stp>FQ1 2007</stp>
        <stp>[FA1_j2ahgkxc.xlsx]Income - Adjusted!R16C35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6" s="2"/>
      </tp>
      <tp>
        <v>9.4</v>
        <stp/>
        <stp>##V3_BDHV12</stp>
        <stp>AMZN US Equity</stp>
        <stp>IS_FOREIGN_EXCH_LOSS</stp>
        <stp>FQ1 2005</stp>
        <stp>FQ1 2005</stp>
        <stp>[FA1_j2ahgkxc.xlsx]Income - Adjusted!R16C27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6" s="2"/>
      </tp>
      <tp>
        <v>0</v>
        <stp/>
        <stp>##V3_BDHV12</stp>
        <stp>AMZN US Equity</stp>
        <stp>IS_FOREIGN_EXCH_LOSS</stp>
        <stp>FQ3 2003</stp>
        <stp>FQ3 2003</stp>
        <stp>[FA1_j2ahgkxc.xlsx]Income - Adjusted!R16C21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6" s="2"/>
      </tp>
      <tp>
        <v>0</v>
        <stp/>
        <stp>##V3_BDHV12</stp>
        <stp>AMZN US Equity</stp>
        <stp>IS_FOREIGN_EXCH_LOSS</stp>
        <stp>FQ3 2001</stp>
        <stp>FQ3 2001</stp>
        <stp>[FA1_j2ahgkxc.xlsx]Income - Adjusted!R16C13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6" s="2"/>
      </tp>
      <tp>
        <v>0</v>
        <stp/>
        <stp>##V3_BDHV12</stp>
        <stp>AMZN US Equity</stp>
        <stp>INVTRY_RAW_MATERIALS</stp>
        <stp>FQ1 2003</stp>
        <stp>FQ1 2003</stp>
        <stp>[FA1_j2ahgkxc.xlsx]Bal Sheet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3"/>
      </tp>
      <tp t="s">
        <v>—</v>
        <stp/>
        <stp>##V3_BDHV12</stp>
        <stp>AMZN US Equity</stp>
        <stp>INVTRY_RAW_MATERIALS</stp>
        <stp>FQ4 2008</stp>
        <stp>FQ4 2008</stp>
        <stp>[FA1_j2ahgkxc.xlsx]Bal Sheet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3"/>
      </tp>
      <tp>
        <v>0</v>
        <stp/>
        <stp>##V3_BDHV12</stp>
        <stp>AMZN US Equity</stp>
        <stp>INVTRY_RAW_MATERIALS</stp>
        <stp>FQ2 2005</stp>
        <stp>FQ2 2005</stp>
        <stp>[FA1_j2ahgkxc.xlsx]Bal Sheet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3"/>
      </tp>
      <tp t="s">
        <v>—</v>
        <stp/>
        <stp>##V3_BDHV12</stp>
        <stp>AMZN US Equity</stp>
        <stp>IS_IMPAIRMENT_GOODWILL_INTANGIBL</stp>
        <stp>FQ2 1999</stp>
        <stp>FQ2 1999</stp>
        <stp>[FA1_j2ahgkxc.xlsx]Income - Adjusted!R19C5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2"/>
      </tp>
      <tp>
        <v>7.3200000000000001E-2</v>
        <stp/>
        <stp>##V3_BDHV12</stp>
        <stp>AMZN US Equity</stp>
        <stp>BOOK_VAL_PER_SH</stp>
        <stp>FQ1 2000</stp>
        <stp>FQ1 2000</stp>
        <stp>[FA1_j2ahgkxc.xlsx]Per Share!R26C8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6" s="5"/>
      </tp>
      <tp>
        <v>0.48</v>
        <stp/>
        <stp>##V3_BDHV12</stp>
        <stp>AMZN US Equity</stp>
        <stp>IS_DIL_EPS_BEF_XO</stp>
        <stp>FQ4 2007</stp>
        <stp>FQ4 2007</stp>
        <stp>[FA1_j2ahgkxc.xlsx]Income - Adjusted!R41C38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1" s="2"/>
      </tp>
      <tp>
        <v>1.1166</v>
        <stp/>
        <stp>##V3_BDHV12</stp>
        <stp>AMZN US Equity</stp>
        <stp>CUR_RATIO</stp>
        <stp>FQ1 2008</stp>
        <stp>FQ1 2008</stp>
        <stp>[FA1_j2ahgkxc.xlsx]Bal Sheet - Standardized!R68C39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8" s="3"/>
      </tp>
      <tp>
        <v>104</v>
        <stp/>
        <stp>##V3_BDHV12</stp>
        <stp>AMZN US Equity</stp>
        <stp>IS_OPER_INC</stp>
        <stp>FQ2 2005</stp>
        <stp>FQ2 2005</stp>
        <stp>[FA1_j2ahgkxc.xlsx]Income - Adjusted!R12C28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0</v>
        <stp/>
        <stp>##V3_BDHV12</stp>
        <stp>AMZN US Equity</stp>
        <stp>BS_PFD_EQTY_&amp;_HYBRID_CPTL</stp>
        <stp>FQ1 2006</stp>
        <stp>FQ1 2006</stp>
        <stp>[FA1_j2ahgkxc.xlsx]Bal Sheet - Standardized!R47C31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3"/>
      </tp>
      <tp>
        <v>0</v>
        <stp/>
        <stp>##V3_BDHV12</stp>
        <stp>AMZN US Equity</stp>
        <stp>BS_PFD_EQTY_&amp;_HYBRID_CPTL</stp>
        <stp>FQ3 2002</stp>
        <stp>FQ3 2002</stp>
        <stp>[FA1_j2ahgkxc.xlsx]Bal Sheet - Standardized!R47C17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3"/>
      </tp>
      <tp>
        <v>0</v>
        <stp/>
        <stp>##V3_BDHV12</stp>
        <stp>AMZN US Equity</stp>
        <stp>BS_PFD_EQTY_&amp;_HYBRID_CPTL</stp>
        <stp>FQ1 2007</stp>
        <stp>FQ1 2007</stp>
        <stp>[FA1_j2ahgkxc.xlsx]Bal Sheet - Standardized!R47C35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3"/>
      </tp>
      <tp>
        <v>0</v>
        <stp/>
        <stp>##V3_BDHV12</stp>
        <stp>AMZN US Equity</stp>
        <stp>BS_PFD_EQTY_&amp;_HYBRID_CPTL</stp>
        <stp>FQ3 2001</stp>
        <stp>FQ3 2001</stp>
        <stp>[FA1_j2ahgkxc.xlsx]Bal Sheet - Standardized!R47C13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3"/>
      </tp>
      <tp>
        <v>0</v>
        <stp/>
        <stp>##V3_BDHV12</stp>
        <stp>AMZN US Equity</stp>
        <stp>BS_PFD_EQTY_&amp;_HYBRID_CPTL</stp>
        <stp>FQ1 2008</stp>
        <stp>FQ1 2008</stp>
        <stp>[FA1_j2ahgkxc.xlsx]Bal Sheet - Standardized!R47C39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3"/>
      </tp>
      <tp>
        <v>-323.21300000000002</v>
        <stp/>
        <stp>##V3_BDHV12</stp>
        <stp>AMZN US Equity</stp>
        <stp>IS_INC_BEF_XO_ITEM</stp>
        <stp>FQ4 1999</stp>
        <stp>FQ4 1999</stp>
        <stp>[FA1_j2ahgkxc.xlsx]Income - Adjusted!R22C7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2"/>
      </tp>
      <tp>
        <v>-0.15</v>
        <stp/>
        <stp>##V3_BDHV12</stp>
        <stp>AMZN US Equity</stp>
        <stp>IS_EARN_BEF_XO_ITEMS_PER_SH</stp>
        <stp>FQ4 1998</stp>
        <stp>FQ4 1998</stp>
        <stp>[FA1_j2ahgkxc.xlsx]Income - Adjusted!R36C3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6" s="2"/>
      </tp>
      <tp>
        <v>15</v>
        <stp/>
        <stp>##V3_BDHV12</stp>
        <stp>AMZN US Equity</stp>
        <stp>BS_NUM_OF_TSY_SH</stp>
        <stp>FQ1 2008</stp>
        <stp>FQ1 2008</stp>
        <stp>[FA1_j2ahgkxc.xlsx]Bal Sheet - Standardized!R60C39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0" s="3"/>
      </tp>
      <tp>
        <v>-46.427</v>
        <stp/>
        <stp>##V3_BDHV12</stp>
        <stp>AMZN US Equity</stp>
        <stp>IS_INC_BEF_XO_ITEM</stp>
        <stp>FQ4 1998</stp>
        <stp>FQ4 1998</stp>
        <stp>[FA1_j2ahgkxc.xlsx]Income - Adjusted!R22C3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2"/>
      </tp>
      <tp>
        <v>2156.1331</v>
        <stp/>
        <stp>##V3_BDHV12</stp>
        <stp>AMZN US Equity</stp>
        <stp>BS_LT_BORROW</stp>
        <stp>FQ4 2001</stp>
        <stp>FQ4 2001</stp>
        <stp>[FA1_j2ahgkxc.xlsx]Bal Sheet - Standardized!R40C14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0" s="3"/>
      </tp>
      <tp>
        <v>0</v>
        <stp/>
        <stp>##V3_BDHV12</stp>
        <stp>AMZN US Equity</stp>
        <stp>BS_LT_INVEST</stp>
        <stp>FQ4 2005</stp>
        <stp>FQ4 2005</stp>
        <stp>[FA1_j2ahgkxc.xlsx]Bal Sheet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3"/>
      </tp>
      <tp>
        <v>774.04</v>
        <stp/>
        <stp>##V3_BDHV12</stp>
        <stp>AMZN US Equity</stp>
        <stp>BS_TOT_NON_CUR_ASSET</stp>
        <stp>FQ4 2000</stp>
        <stp>FQ4 2000</stp>
        <stp>[FA1_j2ahgkxc.xlsx]Bal Sheet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3"/>
      </tp>
      <tp>
        <v>0</v>
        <stp/>
        <stp>##V3_BDHV12</stp>
        <stp>AMZN US Equity</stp>
        <stp>BS_LT_INVEST</stp>
        <stp>FQ4 2006</stp>
        <stp>FQ4 2006</stp>
        <stp>[FA1_j2ahgkxc.xlsx]Bal Sheet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3"/>
      </tp>
      <tp>
        <v>2127.4641000000001</v>
        <stp/>
        <stp>##V3_BDHV12</stp>
        <stp>AMZN US Equity</stp>
        <stp>BS_LT_BORROW</stp>
        <stp>FQ4 2000</stp>
        <stp>FQ4 2000</stp>
        <stp>[FA1_j2ahgkxc.xlsx]Bal Sheet - Standardized!R40C10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0" s="3"/>
      </tp>
      <tp>
        <v>429.62700000000001</v>
        <stp/>
        <stp>##V3_BDHV12</stp>
        <stp>AMZN US Equity</stp>
        <stp>BS_TOT_NON_CUR_ASSET</stp>
        <stp>FQ4 2001</stp>
        <stp>FQ4 2001</stp>
        <stp>[FA1_j2ahgkxc.xlsx]Bal Sheet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3"/>
      </tp>
      <tp>
        <v>0</v>
        <stp/>
        <stp>##V3_BDHV12</stp>
        <stp>AMZN US Equity</stp>
        <stp>BS_LT_INVEST</stp>
        <stp>FQ4 2007</stp>
        <stp>FQ4 2007</stp>
        <stp>[FA1_j2ahgkxc.xlsx]Bal Sheet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3"/>
      </tp>
      <tp>
        <v>374.77300000000002</v>
        <stp/>
        <stp>##V3_BDHV12</stp>
        <stp>AMZN US Equity</stp>
        <stp>BS_TOT_NON_CUR_ASSET</stp>
        <stp>FQ4 2002</stp>
        <stp>FQ4 2002</stp>
        <stp>[FA1_j2ahgkxc.xlsx]Bal Sheet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3"/>
      </tp>
      <tp>
        <v>0</v>
        <stp/>
        <stp>##V3_BDHV12</stp>
        <stp>AMZN US Equity</stp>
        <stp>BS_LT_INVEST</stp>
        <stp>FQ3 2008</stp>
        <stp>FQ3 2008</stp>
        <stp>[FA1_j2ahgkxc.xlsx]Bal Sheet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3"/>
      </tp>
      <tp>
        <v>21.773</v>
        <stp/>
        <stp>##V3_BDHV12</stp>
        <stp>AMZN US Equity</stp>
        <stp>EBIT</stp>
        <stp>FQ4 2001</stp>
        <stp>FQ4 2001</stp>
        <stp>[FA1_j2ahgkxc.xlsx]Income - Adjusted!R49C14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9" s="2"/>
      </tp>
      <tp>
        <v>165</v>
        <stp/>
        <stp>##V3_BDHV12</stp>
        <stp>AMZN US Equity</stp>
        <stp>EBIT</stp>
        <stp>FQ4 2005</stp>
        <stp>FQ4 2005</stp>
        <stp>[FA1_j2ahgkxc.xlsx]Income - Adjusted!R49C30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9" s="2"/>
      </tp>
      <tp>
        <v>40</v>
        <stp/>
        <stp>##V3_BDHV12</stp>
        <stp>AMZN US Equity</stp>
        <stp>EBIT</stp>
        <stp>FQ3 2006</stp>
        <stp>FQ3 2006</stp>
        <stp>[FA1_j2ahgkxc.xlsx]Income - Adjusted!R49C33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9" s="2"/>
      </tp>
      <tp>
        <v>27.111999999999998</v>
        <stp/>
        <stp>##V3_BDHV12</stp>
        <stp>AMZN US Equity</stp>
        <stp>EBIT</stp>
        <stp>FQ3 2002</stp>
        <stp>FQ3 2002</stp>
        <stp>[FA1_j2ahgkxc.xlsx]Income - Adjusted!R49C17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9" s="2"/>
      </tp>
      <tp>
        <v>2277.3049000000001</v>
        <stp/>
        <stp>##V3_BDHV12</stp>
        <stp>AMZN US Equity</stp>
        <stp>BS_LT_BORROW</stp>
        <stp>FQ4 2002</stp>
        <stp>FQ4 2002</stp>
        <stp>[FA1_j2ahgkxc.xlsx]Bal Sheet - Standardized!R40C18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0" s="3"/>
      </tp>
      <tp>
        <v>0</v>
        <stp/>
        <stp>##V3_BDHV12</stp>
        <stp>AMZN US Equity</stp>
        <stp>INVTRY_RAW_MATERIALS</stp>
        <stp>FQ1 2005</stp>
        <stp>FQ1 2005</stp>
        <stp>[FA1_j2ahgkxc.xlsx]Bal Sheet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3"/>
      </tp>
      <tp>
        <v>0</v>
        <stp/>
        <stp>##V3_BDHV12</stp>
        <stp>AMZN US Equity</stp>
        <stp>INVTRY_RAW_MATERIALS</stp>
        <stp>FQ2 2001</stp>
        <stp>FQ2 2001</stp>
        <stp>[FA1_j2ahgkxc.xlsx]Bal Sheet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3"/>
      </tp>
      <tp>
        <v>0</v>
        <stp/>
        <stp>##V3_BDHV12</stp>
        <stp>AMZN US Equity</stp>
        <stp>INVTRY_RAW_MATERIALS</stp>
        <stp>FQ1 2004</stp>
        <stp>FQ1 2004</stp>
        <stp>[FA1_j2ahgkxc.xlsx]Bal Sheet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3"/>
      </tp>
      <tp>
        <v>0</v>
        <stp/>
        <stp>##V3_BDHV12</stp>
        <stp>AMZN US Equity</stp>
        <stp>INVTRY_RAW_MATERIALS</stp>
        <stp>FQ2 2002</stp>
        <stp>FQ2 2002</stp>
        <stp>[FA1_j2ahgkxc.xlsx]Bal Sheet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3"/>
      </tp>
      <tp>
        <v>0.19</v>
        <stp/>
        <stp>##V3_BDHV12</stp>
        <stp>AMZN US Equity</stp>
        <stp>IS_EARN_BEF_XO_ITEMS_PER_SH</stp>
        <stp>FQ3 2007</stp>
        <stp>FQ3 2007</stp>
        <stp>[FA1_j2ahgkxc.xlsx]Income - Adjusted!R36C37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6" s="2"/>
      </tp>
      <tp>
        <v>0.19</v>
        <stp/>
        <stp>##V3_BDHV12</stp>
        <stp>AMZN US Equity</stp>
        <stp>IS_EARN_BEF_XO_ITEMS_PER_SH</stp>
        <stp>FQ2 2004</stp>
        <stp>FQ2 2004</stp>
        <stp>[FA1_j2ahgkxc.xlsx]Income - Adjusted!R36C24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6" s="2"/>
      </tp>
      <tp>
        <v>-0.63</v>
        <stp/>
        <stp>##V3_BDHV12</stp>
        <stp>AMZN US Equity</stp>
        <stp>IS_EARN_BEF_XO_ITEMS_PER_SH</stp>
        <stp>FQ1 2001</stp>
        <stp>FQ1 2001</stp>
        <stp>[FA1_j2ahgkxc.xlsx]Income - Adjusted!R36C11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6" s="2"/>
      </tp>
      <tp>
        <v>-1.53</v>
        <stp/>
        <stp>##V3_BDHV12</stp>
        <stp>AMZN US Equity</stp>
        <stp>IS_EARN_BEF_XO_ITEMS_PER_SH</stp>
        <stp>FQ4 2000</stp>
        <stp>FQ4 2000</stp>
        <stp>[FA1_j2ahgkxc.xlsx]Income - Adjusted!R36C10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6" s="2"/>
      </tp>
      <tp>
        <v>0</v>
        <stp/>
        <stp>##V3_BDHV12</stp>
        <stp>AMZN US Equity</stp>
        <stp>IS_FOREIGN_EXCH_LOSS</stp>
        <stp>FQ4 2003</stp>
        <stp>FQ4 2003</stp>
        <stp>[FA1_j2ahgkxc.xlsx]Income - Adjusted!R16C22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6" s="2"/>
      </tp>
      <tp>
        <v>0</v>
        <stp/>
        <stp>##V3_BDHV12</stp>
        <stp>AMZN US Equity</stp>
        <stp>IS_FOREIGN_EXCH_LOSS</stp>
        <stp>FQ1 2008</stp>
        <stp>FQ1 2008</stp>
        <stp>[FA1_j2ahgkxc.xlsx]Income - Adjusted!R16C39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6" s="2"/>
      </tp>
      <tp>
        <v>0</v>
        <stp/>
        <stp>##V3_BDHV12</stp>
        <stp>AMZN US Equity</stp>
        <stp>IS_FOREIGN_EXCH_LOSS</stp>
        <stp>FQ2 2007</stp>
        <stp>FQ2 2007</stp>
        <stp>[FA1_j2ahgkxc.xlsx]Income - Adjusted!R16C36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6" s="2"/>
      </tp>
      <tp>
        <v>0.28499999999999998</v>
        <stp/>
        <stp>##V3_BDHV12</stp>
        <stp>AMZN US Equity</stp>
        <stp>IS_FOREIGN_EXCH_LOSS</stp>
        <stp>FQ3 2004</stp>
        <stp>FQ3 2004</stp>
        <stp>[FA1_j2ahgkxc.xlsx]Income - Adjusted!R16C25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6" s="2"/>
      </tp>
      <tp>
        <v>-0.59</v>
        <stp/>
        <stp>##V3_BDHV12</stp>
        <stp>AMZN US Equity</stp>
        <stp>IS_EPS</stp>
        <stp>FQ3 1999</stp>
        <stp>FQ3 1999</stp>
        <stp>[FA1_j2ahgkxc.xlsx]Per Share!R14C6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4" s="5"/>
      </tp>
      <tp>
        <v>-0.43</v>
        <stp/>
        <stp>##V3_BDHV12</stp>
        <stp>AMZN US Equity</stp>
        <stp>IS_EPS</stp>
        <stp>FQ2 1999</stp>
        <stp>FQ2 1999</stp>
        <stp>[FA1_j2ahgkxc.xlsx]Per Share!R14C5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4" s="5"/>
      </tp>
      <tp>
        <v>-0.2</v>
        <stp/>
        <stp>##V3_BDHV12</stp>
        <stp>AMZN US Equity</stp>
        <stp>IS_EPS</stp>
        <stp>FQ1 1999</stp>
        <stp>FQ1 1999</stp>
        <stp>[FA1_j2ahgkxc.xlsx]Per Share!R14C4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4" s="5"/>
      </tp>
      <tp>
        <v>-0.96</v>
        <stp/>
        <stp>##V3_BDHV12</stp>
        <stp>AMZN US Equity</stp>
        <stp>IS_EPS</stp>
        <stp>FQ4 1999</stp>
        <stp>FQ4 1999</stp>
        <stp>[FA1_j2ahgkxc.xlsx]Per Share!R14C7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4" s="5"/>
      </tp>
      <tp t="s">
        <v>—</v>
        <stp/>
        <stp>##V3_BDHV12</stp>
        <stp>AMZN US Equity</stp>
        <stp>IS_IMPAIRMENT_GOODWILL_INTANGIBL</stp>
        <stp>FQ1 2000</stp>
        <stp>FQ1 2000</stp>
        <stp>[FA1_j2ahgkxc.xlsx]Income - Adjusted!R19C8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2"/>
      </tp>
      <tp t="s">
        <v>—</v>
        <stp/>
        <stp>##V3_BDHV12</stp>
        <stp>AMZN US Equity</stp>
        <stp>IS_IMPAIRMENT_GOODWILL_INTANGIBL</stp>
        <stp>FQ1 1999</stp>
        <stp>FQ1 1999</stp>
        <stp>[FA1_j2ahgkxc.xlsx]Income - Adjusted!R19C4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2"/>
      </tp>
      <tp>
        <v>0</v>
        <stp/>
        <stp>##V3_BDHV12</stp>
        <stp>AMZN US Equity</stp>
        <stp>CF_DVD_PAID</stp>
        <stp>FQ4 2006</stp>
        <stp>FQ4 2006</stp>
        <stp>[FA1_j2ahgkxc.xlsx]Cash Flow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4"/>
      </tp>
      <tp>
        <v>1.4767999999999999</v>
        <stp/>
        <stp>##V3_BDHV12</stp>
        <stp>AMZN US Equity</stp>
        <stp>CUR_RATIO</stp>
        <stp>FQ2 2007</stp>
        <stp>FQ2 2007</stp>
        <stp>[FA1_j2ahgkxc.xlsx]Bal Sheet - Standardized!R68C36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8" s="3"/>
      </tp>
      <tp>
        <v>1.4764999999999999</v>
        <stp/>
        <stp>##V3_BDHV12</stp>
        <stp>AMZN US Equity</stp>
        <stp>CUR_RATIO</stp>
        <stp>FQ3 2007</stp>
        <stp>FQ3 2007</stp>
        <stp>[FA1_j2ahgkxc.xlsx]Bal Sheet - Standardized!R68C37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8" s="3"/>
      </tp>
      <tp>
        <v>1.4077</v>
        <stp/>
        <stp>##V3_BDHV12</stp>
        <stp>AMZN US Equity</stp>
        <stp>CUR_RATIO</stp>
        <stp>FQ1 2007</stp>
        <stp>FQ1 2007</stp>
        <stp>[FA1_j2ahgkxc.xlsx]Bal Sheet - Standardized!R68C35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8" s="3"/>
      </tp>
      <tp>
        <v>-1.3681000000000001</v>
        <stp/>
        <stp>##V3_BDHV12</stp>
        <stp>AMZN US Equity</stp>
        <stp>BOOK_VAL_PER_SH</stp>
        <stp>FQ3 2000</stp>
        <stp>FQ3 2000</stp>
        <stp>[FA1_j2ahgkxc.xlsx]Per Share!R26C9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6" s="5"/>
      </tp>
      <tp>
        <v>1.671</v>
        <stp/>
        <stp>##V3_BDHV12</stp>
        <stp>AMZN US Equity</stp>
        <stp>CUR_RATIO</stp>
        <stp>FQ1 2005</stp>
        <stp>FQ1 2005</stp>
        <stp>[FA1_j2ahgkxc.xlsx]Bal Sheet - Standardized!R68C27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8" s="3"/>
      </tp>
      <tp>
        <v>7.0000000000000007E-2</v>
        <stp/>
        <stp>##V3_BDHV12</stp>
        <stp>AMZN US Equity</stp>
        <stp>IS_DIL_EPS_BEF_XO</stp>
        <stp>FQ3 2005</stp>
        <stp>FQ3 2005</stp>
        <stp>[FA1_j2ahgkxc.xlsx]Income - Adjusted!R41C29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1" s="2"/>
      </tp>
      <tp>
        <v>0</v>
        <stp/>
        <stp>##V3_BDHV12</stp>
        <stp>AMZN US Equity</stp>
        <stp>CF_DVD_PAID</stp>
        <stp>FQ4 2005</stp>
        <stp>FQ4 2005</stp>
        <stp>[FA1_j2ahgkxc.xlsx]Cash Flow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4"/>
      </tp>
      <tp>
        <v>0</v>
        <stp/>
        <stp>##V3_BDHV12</stp>
        <stp>AMZN US Equity</stp>
        <stp>CF_DVD_PAID</stp>
        <stp>FQ3 2008</stp>
        <stp>FQ3 2008</stp>
        <stp>[FA1_j2ahgkxc.xlsx]Cash Flow - Standardized!R31C41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4"/>
      </tp>
      <tp>
        <v>0</v>
        <stp/>
        <stp>##V3_BDHV12</stp>
        <stp>AMZN US Equity</stp>
        <stp>CF_DVD_PAID</stp>
        <stp>FQ4 2007</stp>
        <stp>FQ4 2007</stp>
        <stp>[FA1_j2ahgkxc.xlsx]Cash Flow - Standardized!R31C38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4"/>
      </tp>
      <tp>
        <v>55</v>
        <stp/>
        <stp>##V3_BDHV12</stp>
        <stp>AMZN US Equity</stp>
        <stp>IS_OPER_INC</stp>
        <stp>FQ3 2005</stp>
        <stp>FQ3 2005</stp>
        <stp>[FA1_j2ahgkxc.xlsx]Income - Adjusted!R12C29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>
        <v>336.30599999999998</v>
        <stp/>
        <stp>##V3_BDHV12</stp>
        <stp>AMZN US Equity</stp>
        <stp>BS_SH_OUT</stp>
        <stp>FQ2 1999</stp>
        <stp>FQ2 1999</stp>
        <stp>[FA1_j2ahgkxc.xlsx]Per Share!R6C5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5"/>
      </tp>
      <tp>
        <v>318.53399999999999</v>
        <stp/>
        <stp>##V3_BDHV12</stp>
        <stp>AMZN US Equity</stp>
        <stp>BS_SH_OUT</stp>
        <stp>FQ4 1998</stp>
        <stp>FQ4 1998</stp>
        <stp>[FA1_j2ahgkxc.xlsx]Per Share!R6C3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5"/>
      </tp>
      <tp>
        <v>0</v>
        <stp/>
        <stp>##V3_BDHV12</stp>
        <stp>AMZN US Equity</stp>
        <stp>BS_PFD_EQTY_&amp;_HYBRID_CPTL</stp>
        <stp>FQ1 2004</stp>
        <stp>FQ1 2004</stp>
        <stp>[FA1_j2ahgkxc.xlsx]Bal Sheet - Standardized!R47C23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3"/>
      </tp>
      <tp>
        <v>0</v>
        <stp/>
        <stp>##V3_BDHV12</stp>
        <stp>AMZN US Equity</stp>
        <stp>BS_PFD_EQTY_&amp;_HYBRID_CPTL</stp>
        <stp>FQ2 2002</stp>
        <stp>FQ2 2002</stp>
        <stp>[FA1_j2ahgkxc.xlsx]Bal Sheet - Standardized!R47C16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3"/>
      </tp>
      <tp>
        <v>0</v>
        <stp/>
        <stp>##V3_BDHV12</stp>
        <stp>AMZN US Equity</stp>
        <stp>BS_PFD_EQTY_&amp;_HYBRID_CPTL</stp>
        <stp>FQ1 2005</stp>
        <stp>FQ1 2005</stp>
        <stp>[FA1_j2ahgkxc.xlsx]Bal Sheet - Standardized!R47C27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3"/>
      </tp>
      <tp>
        <v>0</v>
        <stp/>
        <stp>##V3_BDHV12</stp>
        <stp>AMZN US Equity</stp>
        <stp>BS_PFD_EQTY_&amp;_HYBRID_CPTL</stp>
        <stp>FQ2 2001</stp>
        <stp>FQ2 2001</stp>
        <stp>[FA1_j2ahgkxc.xlsx]Bal Sheet - Standardized!R47C12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3"/>
      </tp>
      <tp t="s">
        <v>—</v>
        <stp/>
        <stp>##V3_BDHV12</stp>
        <stp>AMZN US Equity</stp>
        <stp>NET_DEBT_TO_SHRHLDR_EQTY</stp>
        <stp>FQ4 2004</stp>
        <stp>FQ4 2004</stp>
        <stp>[FA1_j2ahgkxc.xlsx]Bal Sheet - Standardized!R66C26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6" s="3"/>
      </tp>
      <tp t="s">
        <v>—</v>
        <stp/>
        <stp>##V3_BDHV12</stp>
        <stp>AMZN US Equity</stp>
        <stp>NET_DEBT_TO_SHRHLDR_EQTY</stp>
        <stp>FQ1 2004</stp>
        <stp>FQ1 2004</stp>
        <stp>[FA1_j2ahgkxc.xlsx]Bal Sheet - Standardized!R66C23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6" s="3"/>
      </tp>
      <tp>
        <v>-167.28540000000001</v>
        <stp/>
        <stp>##V3_BDHV12</stp>
        <stp>AMZN US Equity</stp>
        <stp>NET_DEBT_TO_SHRHLDR_EQTY</stp>
        <stp>FQ4 2006</stp>
        <stp>FQ4 2006</stp>
        <stp>[FA1_j2ahgkxc.xlsx]Bal Sheet - Standardized!R66C34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6" s="3"/>
      </tp>
      <tp>
        <v>79.081599999999995</v>
        <stp/>
        <stp>##V3_BDHV12</stp>
        <stp>AMZN US Equity</stp>
        <stp>NET_DEBT_TO_SHRHLDR_EQTY</stp>
        <stp>FQ3 2006</stp>
        <stp>FQ3 2006</stp>
        <stp>[FA1_j2ahgkxc.xlsx]Bal Sheet - Standardized!R66C33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6" s="3"/>
      </tp>
      <tp>
        <v>-13.577</v>
        <stp/>
        <stp>##V3_BDHV12</stp>
        <stp>AMZN US Equity</stp>
        <stp>NET_DEBT_TO_SHRHLDR_EQTY</stp>
        <stp>FQ2 2006</stp>
        <stp>FQ2 2006</stp>
        <stp>[FA1_j2ahgkxc.xlsx]Bal Sheet - Standardized!R66C32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6" s="3"/>
      </tp>
      <tp>
        <v>-22.530899999999999</v>
        <stp/>
        <stp>##V3_BDHV12</stp>
        <stp>AMZN US Equity</stp>
        <stp>NET_DEBT_TO_SHRHLDR_EQTY</stp>
        <stp>FQ1 2006</stp>
        <stp>FQ1 2006</stp>
        <stp>[FA1_j2ahgkxc.xlsx]Bal Sheet - Standardized!R66C31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6" s="3"/>
      </tp>
      <tp t="s">
        <v>—</v>
        <stp/>
        <stp>##V3_BDHV12</stp>
        <stp>AMZN US Equity</stp>
        <stp>NET_DEBT_TO_SHRHLDR_EQTY</stp>
        <stp>FQ1 2002</stp>
        <stp>FQ1 2002</stp>
        <stp>[FA1_j2ahgkxc.xlsx]Bal Sheet - Standardized!R66C15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6" s="3"/>
      </tp>
      <tp t="s">
        <v>—</v>
        <stp/>
        <stp>##V3_BDHV12</stp>
        <stp>AMZN US Equity</stp>
        <stp>NET_DEBT_TO_SHRHLDR_EQTY</stp>
        <stp>FQ3 2002</stp>
        <stp>FQ3 2002</stp>
        <stp>[FA1_j2ahgkxc.xlsx]Bal Sheet - Standardized!R66C17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6" s="3"/>
      </tp>
      <tp t="s">
        <v>—</v>
        <stp/>
        <stp>##V3_BDHV12</stp>
        <stp>AMZN US Equity</stp>
        <stp>NET_DEBT_TO_SHRHLDR_EQTY</stp>
        <stp>FQ2 2002</stp>
        <stp>FQ2 2002</stp>
        <stp>[FA1_j2ahgkxc.xlsx]Bal Sheet - Standardized!R66C16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6" s="3"/>
      </tp>
      <tp t="s">
        <v>—</v>
        <stp/>
        <stp>##V3_BDHV12</stp>
        <stp>AMZN US Equity</stp>
        <stp>NUM_OF_EMPLOYEES</stp>
        <stp>FQ3 2000</stp>
        <stp>FQ3 2000</stp>
        <stp>[FA1_j2ahgkxc.xlsx]Bal Sheet - Standardized!R70C9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0" s="3"/>
      </tp>
      <tp>
        <v>0</v>
        <stp/>
        <stp>##V3_BDHV12</stp>
        <stp>AMZN US Equity</stp>
        <stp>BS_NUM_OF_TSY_SH</stp>
        <stp>FQ4 2005</stp>
        <stp>FQ4 2005</stp>
        <stp>[FA1_j2ahgkxc.xlsx]Bal Sheet - Standardized!R60C30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0" s="3"/>
      </tp>
      <tp>
        <v>0</v>
        <stp/>
        <stp>##V3_BDHV12</stp>
        <stp>AMZN US Equity</stp>
        <stp>BS_NUM_OF_TSY_SH</stp>
        <stp>FQ4 2001</stp>
        <stp>FQ4 2001</stp>
        <stp>[FA1_j2ahgkxc.xlsx]Bal Sheet - Standardized!R60C14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0" s="3"/>
      </tp>
      <tp>
        <v>0</v>
        <stp/>
        <stp>##V3_BDHV12</stp>
        <stp>AMZN US Equity</stp>
        <stp>BS_NUM_OF_TSY_SH</stp>
        <stp>FQ1 2001</stp>
        <stp>FQ1 2001</stp>
        <stp>[FA1_j2ahgkxc.xlsx]Bal Sheet - Standardized!R60C11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0" s="3"/>
      </tp>
      <tp>
        <v>0</v>
        <stp/>
        <stp>##V3_BDHV12</stp>
        <stp>AMZN US Equity</stp>
        <stp>BS_NUM_OF_TSY_SH</stp>
        <stp>FQ3 2001</stp>
        <stp>FQ3 2001</stp>
        <stp>[FA1_j2ahgkxc.xlsx]Bal Sheet - Standardized!R60C13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0" s="3"/>
      </tp>
      <tp>
        <v>0</v>
        <stp/>
        <stp>##V3_BDHV12</stp>
        <stp>AMZN US Equity</stp>
        <stp>BS_NUM_OF_TSY_SH</stp>
        <stp>FQ2 2001</stp>
        <stp>FQ2 2001</stp>
        <stp>[FA1_j2ahgkxc.xlsx]Bal Sheet - Standardized!R60C12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0" s="3"/>
      </tp>
      <tp>
        <v>0</v>
        <stp/>
        <stp>##V3_BDHV12</stp>
        <stp>AMZN US Equity</stp>
        <stp>BS_NUM_OF_TSY_SH</stp>
        <stp>FQ2 2003</stp>
        <stp>FQ2 2003</stp>
        <stp>[FA1_j2ahgkxc.xlsx]Bal Sheet - Standardized!R60C20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0" s="3"/>
      </tp>
      <tp>
        <v>0</v>
        <stp/>
        <stp>##V3_BDHV12</stp>
        <stp>AMZN US Equity</stp>
        <stp>BS_NUM_OF_TSY_SH</stp>
        <stp>FQ3 2003</stp>
        <stp>FQ3 2003</stp>
        <stp>[FA1_j2ahgkxc.xlsx]Bal Sheet - Standardized!R60C21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0" s="3"/>
      </tp>
      <tp>
        <v>-0.43</v>
        <stp/>
        <stp>##V3_BDHV12</stp>
        <stp>AMZN US Equity</stp>
        <stp>IS_EARN_BEF_XO_ITEMS_PER_SH</stp>
        <stp>FQ2 1999</stp>
        <stp>FQ2 1999</stp>
        <stp>[FA1_j2ahgkxc.xlsx]Income - Adjusted!R36C5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6" s="2"/>
      </tp>
      <tp>
        <v>0.19</v>
        <stp/>
        <stp>##V3_BDHV12</stp>
        <stp>AMZN US Equity</stp>
        <stp>IS_DIL_EPS_CONT_OPS</stp>
        <stp>FQ4 2002</stp>
        <stp>FQ4 2002</stp>
        <stp>[FA1_j2ahgkxc.xlsx]Per Share!R19C18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9" s="5"/>
      </tp>
      <tp>
        <v>0.52</v>
        <stp/>
        <stp>##V3_BDHV12</stp>
        <stp>AMZN US Equity</stp>
        <stp>IS_DIL_EPS_CONT_OPS</stp>
        <stp>FQ4 2008</stp>
        <stp>FQ4 2008</stp>
        <stp>[FA1_j2ahgkxc.xlsx]Per Share!R19C42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9" s="5"/>
      </tp>
      <tp>
        <v>0.1</v>
        <stp/>
        <stp>##V3_BDHV12</stp>
        <stp>AMZN US Equity</stp>
        <stp>IS_DIL_EPS_CONT_OPS</stp>
        <stp>FQ1 2003</stp>
        <stp>FQ1 2003</stp>
        <stp>[FA1_j2ahgkxc.xlsx]Per Share!R19C19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9" s="5"/>
      </tp>
      <tp t="s">
        <v>—</v>
        <stp/>
        <stp>##V3_BDHV12</stp>
        <stp>AMZN US Equity</stp>
        <stp>BS_LT_INVEST</stp>
        <stp>FQ4 2004</stp>
        <stp>FQ4 2004</stp>
        <stp>[FA1_j2ahgkxc.xlsx]Bal Sheet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3"/>
      </tp>
      <tp>
        <v>14.831</v>
        <stp/>
        <stp>##V3_BDHV12</stp>
        <stp>AMZN US Equity</stp>
        <stp>BS_LT_INVEST</stp>
        <stp>FQ4 2003</stp>
        <stp>FQ4 2003</stp>
        <stp>[FA1_j2ahgkxc.xlsx]Bal Sheet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3"/>
      </tp>
      <tp>
        <v>0</v>
        <stp/>
        <stp>##V3_BDHV12</stp>
        <stp>AMZN US Equity</stp>
        <stp>BS_LT_INVEST</stp>
        <stp>FQ2 2008</stp>
        <stp>FQ2 2008</stp>
        <stp>[FA1_j2ahgkxc.xlsx]Bal Sheet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3"/>
      </tp>
      <tp>
        <v>47</v>
        <stp/>
        <stp>##V3_BDHV12</stp>
        <stp>AMZN US Equity</stp>
        <stp>EBIT</stp>
        <stp>FQ2 2006</stp>
        <stp>FQ2 2006</stp>
        <stp>[FA1_j2ahgkxc.xlsx]Income - Adjusted!R49C32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9" s="2"/>
      </tp>
      <tp>
        <v>1.472</v>
        <stp/>
        <stp>##V3_BDHV12</stp>
        <stp>AMZN US Equity</stp>
        <stp>EBIT</stp>
        <stp>FQ2 2002</stp>
        <stp>FQ2 2002</stp>
        <stp>[FA1_j2ahgkxc.xlsx]Income - Adjusted!R49C16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9" s="2"/>
      </tp>
      <tp>
        <v>0</v>
        <stp/>
        <stp>##V3_BDHV12</stp>
        <stp>AMZN US Equity</stp>
        <stp>INVTRY_RAW_MATERIALS</stp>
        <stp>FQ1 2007</stp>
        <stp>FQ1 2007</stp>
        <stp>[FA1_j2ahgkxc.xlsx]Bal Sheet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3"/>
      </tp>
      <tp>
        <v>0</v>
        <stp/>
        <stp>##V3_BDHV12</stp>
        <stp>AMZN US Equity</stp>
        <stp>INVTRY_RAW_MATERIALS</stp>
        <stp>FQ1 2008</stp>
        <stp>FQ1 2008</stp>
        <stp>[FA1_j2ahgkxc.xlsx]Bal Sheet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3"/>
      </tp>
      <tp>
        <v>0</v>
        <stp/>
        <stp>##V3_BDHV12</stp>
        <stp>AMZN US Equity</stp>
        <stp>INVTRY_RAW_MATERIALS</stp>
        <stp>FQ3 2001</stp>
        <stp>FQ3 2001</stp>
        <stp>[FA1_j2ahgkxc.xlsx]Bal Sheet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3"/>
      </tp>
      <tp>
        <v>0</v>
        <stp/>
        <stp>##V3_BDHV12</stp>
        <stp>AMZN US Equity</stp>
        <stp>INVTRY_RAW_MATERIALS</stp>
        <stp>FQ1 2006</stp>
        <stp>FQ1 2006</stp>
        <stp>[FA1_j2ahgkxc.xlsx]Bal Sheet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3"/>
      </tp>
      <tp>
        <v>0</v>
        <stp/>
        <stp>##V3_BDHV12</stp>
        <stp>AMZN US Equity</stp>
        <stp>INVTRY_RAW_MATERIALS</stp>
        <stp>FQ3 2002</stp>
        <stp>FQ3 2002</stp>
        <stp>[FA1_j2ahgkxc.xlsx]Bal Sheet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3"/>
      </tp>
      <tp>
        <v>0.13</v>
        <stp/>
        <stp>##V3_BDHV12</stp>
        <stp>AMZN US Equity</stp>
        <stp>IS_EARN_BEF_XO_ITEMS_PER_SH</stp>
        <stp>FQ3 2004</stp>
        <stp>FQ3 2004</stp>
        <stp>[FA1_j2ahgkxc.xlsx]Income - Adjusted!R36C25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6" s="2"/>
      </tp>
      <tp>
        <v>0.19</v>
        <stp/>
        <stp>##V3_BDHV12</stp>
        <stp>AMZN US Equity</stp>
        <stp>IS_EARN_BEF_XO_ITEMS_PER_SH</stp>
        <stp>FQ2 2007</stp>
        <stp>FQ2 2007</stp>
        <stp>[FA1_j2ahgkxc.xlsx]Income - Adjusted!R36C36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6" s="2"/>
      </tp>
      <tp>
        <v>0.34</v>
        <stp/>
        <stp>##V3_BDHV12</stp>
        <stp>AMZN US Equity</stp>
        <stp>IS_EARN_BEF_XO_ITEMS_PER_SH</stp>
        <stp>FQ1 2008</stp>
        <stp>FQ1 2008</stp>
        <stp>[FA1_j2ahgkxc.xlsx]Income - Adjusted!R36C39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6" s="2"/>
      </tp>
      <tp>
        <v>0.18</v>
        <stp/>
        <stp>##V3_BDHV12</stp>
        <stp>AMZN US Equity</stp>
        <stp>IS_EARN_BEF_XO_ITEMS_PER_SH</stp>
        <stp>FQ4 2003</stp>
        <stp>FQ4 2003</stp>
        <stp>[FA1_j2ahgkxc.xlsx]Income - Adjusted!R36C22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6" s="2"/>
      </tp>
      <tp>
        <v>0</v>
        <stp/>
        <stp>##V3_BDHV12</stp>
        <stp>AMZN US Equity</stp>
        <stp>IS_FOREIGN_EXCH_LOSS</stp>
        <stp>FQ4 2000</stp>
        <stp>FQ4 2000</stp>
        <stp>[FA1_j2ahgkxc.xlsx]Income - Adjusted!R16C10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2"/>
      </tp>
      <tp>
        <v>0</v>
        <stp/>
        <stp>##V3_BDHV12</stp>
        <stp>AMZN US Equity</stp>
        <stp>IS_FOREIGN_EXCH_LOSS</stp>
        <stp>FQ1 2001</stp>
        <stp>FQ1 2001</stp>
        <stp>[FA1_j2ahgkxc.xlsx]Income - Adjusted!R16C11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2"/>
      </tp>
      <tp>
        <v>0.32900000000000001</v>
        <stp/>
        <stp>##V3_BDHV12</stp>
        <stp>AMZN US Equity</stp>
        <stp>IS_FOREIGN_EXCH_LOSS</stp>
        <stp>FQ2 2004</stp>
        <stp>FQ2 2004</stp>
        <stp>[FA1_j2ahgkxc.xlsx]Income - Adjusted!R16C24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6" s="2"/>
      </tp>
      <tp>
        <v>0</v>
        <stp/>
        <stp>##V3_BDHV12</stp>
        <stp>AMZN US Equity</stp>
        <stp>IS_FOREIGN_EXCH_LOSS</stp>
        <stp>FQ3 2007</stp>
        <stp>FQ3 2007</stp>
        <stp>[FA1_j2ahgkxc.xlsx]Income - Adjusted!R16C37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6" s="2"/>
      </tp>
      <tp>
        <v>-0.15</v>
        <stp/>
        <stp>##V3_BDHV12</stp>
        <stp>AMZN US Equity</stp>
        <stp>IS_EPS</stp>
        <stp>FQ4 1998</stp>
        <stp>FQ4 1998</stp>
        <stp>[FA1_j2ahgkxc.xlsx]Per Share!R14C3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4" s="5"/>
      </tp>
      <tp>
        <v>0</v>
        <stp/>
        <stp>##V3_BDHV12</stp>
        <stp>AMZN US Equity</stp>
        <stp>EQY_DPS</stp>
        <stp>FQ1 2000</stp>
        <stp>FQ1 2000</stp>
        <stp>[FA1_j2ahgkxc.xlsx]Per Share!R20C8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0" s="5"/>
      </tp>
      <tp>
        <v>0</v>
        <stp/>
        <stp>##V3_BDHV12</stp>
        <stp>AMZN US Equity</stp>
        <stp>CF_DVD_PAID</stp>
        <stp>FQ4 2004</stp>
        <stp>FQ4 2004</stp>
        <stp>[FA1_j2ahgkxc.xlsx]Cash Flow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4"/>
      </tp>
      <tp>
        <v>0</v>
        <stp/>
        <stp>##V3_BDHV12</stp>
        <stp>AMZN US Equity</stp>
        <stp>CF_DVD_PAID</stp>
        <stp>FQ4 2003</stp>
        <stp>FQ4 2003</stp>
        <stp>[FA1_j2ahgkxc.xlsx]Cash Flow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4"/>
      </tp>
      <tp>
        <v>1.6106</v>
        <stp/>
        <stp>##V3_BDHV12</stp>
        <stp>AMZN US Equity</stp>
        <stp>CUR_RATIO</stp>
        <stp>FQ3 2004</stp>
        <stp>FQ3 2004</stp>
        <stp>[FA1_j2ahgkxc.xlsx]Bal Sheet - Standardized!R68C25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8" s="3"/>
      </tp>
      <tp>
        <v>1.7037</v>
        <stp/>
        <stp>##V3_BDHV12</stp>
        <stp>AMZN US Equity</stp>
        <stp>CUR_RATIO</stp>
        <stp>FQ2 2004</stp>
        <stp>FQ2 2004</stp>
        <stp>[FA1_j2ahgkxc.xlsx]Bal Sheet - Standardized!R68C24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8" s="3"/>
      </tp>
      <tp>
        <v>0.12</v>
        <stp/>
        <stp>##V3_BDHV12</stp>
        <stp>AMZN US Equity</stp>
        <stp>IS_DIL_EPS_BEF_XO</stp>
        <stp>FQ2 2005</stp>
        <stp>FQ2 2005</stp>
        <stp>[FA1_j2ahgkxc.xlsx]Income - Adjusted!R41C28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1" s="2"/>
      </tp>
      <tp t="s">
        <v>—</v>
        <stp/>
        <stp>##V3_BDHV12</stp>
        <stp>AMZN US Equity</stp>
        <stp>IS_SELLING_EXPENSES</stp>
        <stp>FQ3 2000</stp>
        <stp>FQ3 2000</stp>
        <stp>[FA1_j2ahgkxc.xlsx]Income - Adjusted!R11C9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>
        <v>0</v>
        <stp/>
        <stp>##V3_BDHV12</stp>
        <stp>AMZN US Equity</stp>
        <stp>CF_DVD_PAID</stp>
        <stp>FQ2 2008</stp>
        <stp>FQ2 2008</stp>
        <stp>[FA1_j2ahgkxc.xlsx]Cash Flow - Standardized!R31C40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4"/>
      </tp>
      <tp>
        <v>33.090000000000003</v>
        <stp/>
        <stp>##V3_BDHV12</stp>
        <stp>AMZN US Equity</stp>
        <stp>PX_LAST</stp>
        <stp>FQ2 2005</stp>
        <stp>FQ2 2005</stp>
        <stp>[FA1_j2ahgkxc.xlsx]Stock Value!R6C28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6"/>
      </tp>
      <tp>
        <v>18.89</v>
        <stp/>
        <stp>##V3_BDHV12</stp>
        <stp>AMZN US Equity</stp>
        <stp>PX_LAST</stp>
        <stp>FQ4 2002</stp>
        <stp>FQ4 2002</stp>
        <stp>[FA1_j2ahgkxc.xlsx]Stock Value!R6C18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6"/>
      </tp>
      <tp>
        <v>92.64</v>
        <stp/>
        <stp>##V3_BDHV12</stp>
        <stp>AMZN US Equity</stp>
        <stp>PX_LAST</stp>
        <stp>FQ4 2007</stp>
        <stp>FQ4 2007</stp>
        <stp>[FA1_j2ahgkxc.xlsx]Stock Value!R6C38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6"/>
      </tp>
      <tp>
        <v>-192.68289999999999</v>
        <stp/>
        <stp>##V3_BDHV12</stp>
        <stp>AMZN US Equity</stp>
        <stp>NET_DEBT_TO_SHRHLDR_EQTY</stp>
        <stp>FQ4 2005</stp>
        <stp>FQ4 2005</stp>
        <stp>[FA1_j2ahgkxc.xlsx]Bal Sheet - Standardized!R66C30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6" s="3"/>
      </tp>
      <tp t="s">
        <v>—</v>
        <stp/>
        <stp>##V3_BDHV12</stp>
        <stp>AMZN US Equity</stp>
        <stp>NET_DEBT_TO_SHRHLDR_EQTY</stp>
        <stp>FQ4 2001</stp>
        <stp>FQ4 2001</stp>
        <stp>[FA1_j2ahgkxc.xlsx]Bal Sheet - Standardized!R66C14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6" s="3"/>
      </tp>
      <tp t="s">
        <v>—</v>
        <stp/>
        <stp>##V3_BDHV12</stp>
        <stp>AMZN US Equity</stp>
        <stp>NET_DEBT_TO_SHRHLDR_EQTY</stp>
        <stp>FQ1 2001</stp>
        <stp>FQ1 2001</stp>
        <stp>[FA1_j2ahgkxc.xlsx]Bal Sheet - Standardized!R66C11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6" s="3"/>
      </tp>
      <tp t="s">
        <v>—</v>
        <stp/>
        <stp>##V3_BDHV12</stp>
        <stp>AMZN US Equity</stp>
        <stp>NET_DEBT_TO_SHRHLDR_EQTY</stp>
        <stp>FQ3 2001</stp>
        <stp>FQ3 2001</stp>
        <stp>[FA1_j2ahgkxc.xlsx]Bal Sheet - Standardized!R66C13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6" s="3"/>
      </tp>
      <tp t="s">
        <v>—</v>
        <stp/>
        <stp>##V3_BDHV12</stp>
        <stp>AMZN US Equity</stp>
        <stp>NET_DEBT_TO_SHRHLDR_EQTY</stp>
        <stp>FQ2 2001</stp>
        <stp>FQ2 2001</stp>
        <stp>[FA1_j2ahgkxc.xlsx]Bal Sheet - Standardized!R66C12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6" s="3"/>
      </tp>
      <tp t="s">
        <v>—</v>
        <stp/>
        <stp>##V3_BDHV12</stp>
        <stp>AMZN US Equity</stp>
        <stp>NET_DEBT_TO_SHRHLDR_EQTY</stp>
        <stp>FQ2 2003</stp>
        <stp>FQ2 2003</stp>
        <stp>[FA1_j2ahgkxc.xlsx]Bal Sheet - Standardized!R66C20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6" s="3"/>
      </tp>
      <tp t="s">
        <v>—</v>
        <stp/>
        <stp>##V3_BDHV12</stp>
        <stp>AMZN US Equity</stp>
        <stp>NET_DEBT_TO_SHRHLDR_EQTY</stp>
        <stp>FQ3 2003</stp>
        <stp>FQ3 2003</stp>
        <stp>[FA1_j2ahgkxc.xlsx]Bal Sheet - Standardized!R66C21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6" s="3"/>
      </tp>
      <tp>
        <v>0</v>
        <stp/>
        <stp>##V3_BDHV12</stp>
        <stp>AMZN US Equity</stp>
        <stp>BS_NUM_OF_TSY_SH</stp>
        <stp>FQ4 2004</stp>
        <stp>FQ4 2004</stp>
        <stp>[FA1_j2ahgkxc.xlsx]Bal Sheet - Standardized!R60C26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0" s="3"/>
      </tp>
      <tp>
        <v>0</v>
        <stp/>
        <stp>##V3_BDHV12</stp>
        <stp>AMZN US Equity</stp>
        <stp>BS_NUM_OF_TSY_SH</stp>
        <stp>FQ1 2004</stp>
        <stp>FQ1 2004</stp>
        <stp>[FA1_j2ahgkxc.xlsx]Bal Sheet - Standardized!R60C23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0" s="3"/>
      </tp>
      <tp>
        <v>0</v>
        <stp/>
        <stp>##V3_BDHV12</stp>
        <stp>AMZN US Equity</stp>
        <stp>BS_NUM_OF_TSY_SH</stp>
        <stp>FQ4 2006</stp>
        <stp>FQ4 2006</stp>
        <stp>[FA1_j2ahgkxc.xlsx]Bal Sheet - Standardized!R60C34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0" s="3"/>
      </tp>
      <tp t="s">
        <v>—</v>
        <stp/>
        <stp>##V3_BDHV12</stp>
        <stp>AMZN US Equity</stp>
        <stp>BS_NUM_OF_TSY_SH</stp>
        <stp>FQ3 2006</stp>
        <stp>FQ3 2006</stp>
        <stp>[FA1_j2ahgkxc.xlsx]Bal Sheet - Standardized!R60C33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0" s="3"/>
      </tp>
      <tp>
        <v>0</v>
        <stp/>
        <stp>##V3_BDHV12</stp>
        <stp>AMZN US Equity</stp>
        <stp>BS_NUM_OF_TSY_SH</stp>
        <stp>FQ2 2006</stp>
        <stp>FQ2 2006</stp>
        <stp>[FA1_j2ahgkxc.xlsx]Bal Sheet - Standardized!R60C32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0" s="3"/>
      </tp>
      <tp>
        <v>0</v>
        <stp/>
        <stp>##V3_BDHV12</stp>
        <stp>AMZN US Equity</stp>
        <stp>BS_NUM_OF_TSY_SH</stp>
        <stp>FQ1 2006</stp>
        <stp>FQ1 2006</stp>
        <stp>[FA1_j2ahgkxc.xlsx]Bal Sheet - Standardized!R60C31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0" s="3"/>
      </tp>
      <tp>
        <v>76.125</v>
        <stp/>
        <stp>##V3_BDHV12</stp>
        <stp>AMZN US Equity</stp>
        <stp>PX_LAST</stp>
        <stp>FQ4 1999</stp>
        <stp>FQ4 1999</stp>
        <stp>[FA1_j2ahgkxc.xlsx]Stock Value!R6C6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6"/>
      </tp>
      <tp>
        <v>0</v>
        <stp/>
        <stp>##V3_BDHV12</stp>
        <stp>AMZN US Equity</stp>
        <stp>BS_NUM_OF_TSY_SH</stp>
        <stp>FQ1 2002</stp>
        <stp>FQ1 2002</stp>
        <stp>[FA1_j2ahgkxc.xlsx]Bal Sheet - Standardized!R60C15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0" s="3"/>
      </tp>
      <tp>
        <v>0</v>
        <stp/>
        <stp>##V3_BDHV12</stp>
        <stp>AMZN US Equity</stp>
        <stp>BS_NUM_OF_TSY_SH</stp>
        <stp>FQ3 2002</stp>
        <stp>FQ3 2002</stp>
        <stp>[FA1_j2ahgkxc.xlsx]Bal Sheet - Standardized!R60C17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0" s="3"/>
      </tp>
      <tp>
        <v>0</v>
        <stp/>
        <stp>##V3_BDHV12</stp>
        <stp>AMZN US Equity</stp>
        <stp>BS_NUM_OF_TSY_SH</stp>
        <stp>FQ2 2002</stp>
        <stp>FQ2 2002</stp>
        <stp>[FA1_j2ahgkxc.xlsx]Bal Sheet - Standardized!R60C16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0" s="3"/>
      </tp>
      <tp>
        <v>0.12</v>
        <stp/>
        <stp>##V3_BDHV12</stp>
        <stp>AMZN US Equity</stp>
        <stp>IS_DIL_EPS_CONT_OPS</stp>
        <stp>FQ2 2005</stp>
        <stp>FQ2 2005</stp>
        <stp>[FA1_j2ahgkxc.xlsx]Per Share!R19C28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9" s="5"/>
      </tp>
      <tp>
        <v>-138.00800000000001</v>
        <stp/>
        <stp>##V3_BDHV12</stp>
        <stp>AMZN US Equity</stp>
        <stp>IS_INC_BEF_XO_ITEM</stp>
        <stp>FQ2 1999</stp>
        <stp>FQ2 1999</stp>
        <stp>[FA1_j2ahgkxc.xlsx]Income - Adjusted!R22C5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2"/>
      </tp>
      <tp>
        <v>0</v>
        <stp/>
        <stp>##V3_BDHV12</stp>
        <stp>AMZN US Equity</stp>
        <stp>BS_LT_INVEST</stp>
        <stp>FQ2 2007</stp>
        <stp>FQ2 2007</stp>
        <stp>[FA1_j2ahgkxc.xlsx]Bal Sheet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3"/>
      </tp>
      <tp>
        <v>2126.7271000000001</v>
        <stp/>
        <stp>##V3_BDHV12</stp>
        <stp>AMZN US Equity</stp>
        <stp>BS_LT_BORROW</stp>
        <stp>FQ2 2001</stp>
        <stp>FQ2 2001</stp>
        <stp>[FA1_j2ahgkxc.xlsx]Bal Sheet - Standardized!R40C12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0" s="3"/>
      </tp>
      <tp>
        <v>391.47</v>
        <stp/>
        <stp>##V3_BDHV12</stp>
        <stp>AMZN US Equity</stp>
        <stp>BS_TOT_NON_CUR_ASSET</stp>
        <stp>FQ2 2002</stp>
        <stp>FQ2 2002</stp>
        <stp>[FA1_j2ahgkxc.xlsx]Bal Sheet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3"/>
      </tp>
      <tp>
        <v>332.98700000000002</v>
        <stp/>
        <stp>##V3_BDHV12</stp>
        <stp>AMZN US Equity</stp>
        <stp>BS_TOT_NON_CUR_ASSET</stp>
        <stp>FQ1 2004</stp>
        <stp>FQ1 2004</stp>
        <stp>[FA1_j2ahgkxc.xlsx]Bal Sheet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3"/>
      </tp>
      <tp t="s">
        <v>—</v>
        <stp/>
        <stp>##V3_BDHV12</stp>
        <stp>AMZN US Equity</stp>
        <stp>BS_LT_INVEST</stp>
        <stp>FQ3 2004</stp>
        <stp>FQ3 2004</stp>
        <stp>[FA1_j2ahgkxc.xlsx]Bal Sheet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3"/>
      </tp>
      <tp>
        <v>12.949</v>
        <stp/>
        <stp>##V3_BDHV12</stp>
        <stp>AMZN US Equity</stp>
        <stp>BS_LT_INVEST</stp>
        <stp>FQ3 2003</stp>
        <stp>FQ3 2003</stp>
        <stp>[FA1_j2ahgkxc.xlsx]Bal Sheet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3"/>
      </tp>
      <tp>
        <v>1561</v>
        <stp/>
        <stp>##V3_BDHV12</stp>
        <stp>AMZN US Equity</stp>
        <stp>BS_LT_BORROW</stp>
        <stp>FQ1 2005</stp>
        <stp>FQ1 2005</stp>
        <stp>[FA1_j2ahgkxc.xlsx]Bal Sheet - Standardized!R40C27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0" s="3"/>
      </tp>
      <tp>
        <v>679</v>
        <stp/>
        <stp>##V3_BDHV12</stp>
        <stp>AMZN US Equity</stp>
        <stp>BS_TOT_NON_CUR_ASSET</stp>
        <stp>FQ1 2005</stp>
        <stp>FQ1 2005</stp>
        <stp>[FA1_j2ahgkxc.xlsx]Bal Sheet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3"/>
      </tp>
      <tp>
        <v>0</v>
        <stp/>
        <stp>##V3_BDHV12</stp>
        <stp>AMZN US Equity</stp>
        <stp>BS_LT_INVEST</stp>
        <stp>FQ2 2006</stp>
        <stp>FQ2 2006</stp>
        <stp>[FA1_j2ahgkxc.xlsx]Bal Sheet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3"/>
      </tp>
      <tp>
        <v>535.67899999999997</v>
        <stp/>
        <stp>##V3_BDHV12</stp>
        <stp>AMZN US Equity</stp>
        <stp>BS_TOT_NON_CUR_ASSET</stp>
        <stp>FQ2 2001</stp>
        <stp>FQ2 2001</stp>
        <stp>[FA1_j2ahgkxc.xlsx]Bal Sheet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3"/>
      </tp>
      <tp>
        <v>1777.7</v>
        <stp/>
        <stp>##V3_BDHV12</stp>
        <stp>AMZN US Equity</stp>
        <stp>BS_LT_BORROW</stp>
        <stp>FQ1 2004</stp>
        <stp>FQ1 2004</stp>
        <stp>[FA1_j2ahgkxc.xlsx]Bal Sheet - Standardized!R40C23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0" s="3"/>
      </tp>
      <tp>
        <v>2218.4259999999999</v>
        <stp/>
        <stp>##V3_BDHV12</stp>
        <stp>AMZN US Equity</stp>
        <stp>BS_LT_BORROW</stp>
        <stp>FQ2 2002</stp>
        <stp>FQ2 2002</stp>
        <stp>[FA1_j2ahgkxc.xlsx]Bal Sheet - Standardized!R40C16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0" s="3"/>
      </tp>
      <tp>
        <v>0</v>
        <stp/>
        <stp>##V3_BDHV12</stp>
        <stp>AMZN US Equity</stp>
        <stp>BS_LT_INVEST</stp>
        <stp>FQ3 2005</stp>
        <stp>FQ3 2005</stp>
        <stp>[FA1_j2ahgkxc.xlsx]Bal Sheet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3"/>
      </tp>
      <tp>
        <v>-81.19</v>
        <stp/>
        <stp>##V3_BDHV12</stp>
        <stp>AMZN US Equity</stp>
        <stp>EBIT</stp>
        <stp>FQ2 2001</stp>
        <stp>FQ2 2001</stp>
        <stp>[FA1_j2ahgkxc.xlsx]Income - Adjusted!R49C12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9" s="2"/>
      </tp>
      <tp>
        <v>41.823</v>
        <stp/>
        <stp>##V3_BDHV12</stp>
        <stp>AMZN US Equity</stp>
        <stp>EBIT</stp>
        <stp>FQ2 2003</stp>
        <stp>FQ2 2003</stp>
        <stp>[FA1_j2ahgkxc.xlsx]Income - Adjusted!R49C20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9" s="2"/>
      </tp>
      <tp>
        <v>0</v>
        <stp/>
        <stp>##V3_BDHV12</stp>
        <stp>AMZN US Equity</stp>
        <stp>INVTRY_RAW_MATERIALS</stp>
        <stp>FQ4 2001</stp>
        <stp>FQ4 2001</stp>
        <stp>[FA1_j2ahgkxc.xlsx]Bal Sheet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3"/>
      </tp>
      <tp>
        <v>0</v>
        <stp/>
        <stp>##V3_BDHV12</stp>
        <stp>AMZN US Equity</stp>
        <stp>INVTRY_RAW_MATERIALS</stp>
        <stp>FQ4 2000</stp>
        <stp>FQ4 2000</stp>
        <stp>[FA1_j2ahgkxc.xlsx]Bal Sheet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3"/>
      </tp>
      <tp>
        <v>0</v>
        <stp/>
        <stp>##V3_BDHV12</stp>
        <stp>AMZN US Equity</stp>
        <stp>IS_FOREIGN_EXCH_LOSS</stp>
        <stp>FQ1 2006</stp>
        <stp>FQ1 2006</stp>
        <stp>[FA1_j2ahgkxc.xlsx]Income - Adjusted!R16C31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6" s="2"/>
      </tp>
      <tp>
        <v>1</v>
        <stp/>
        <stp>##V3_BDHV12</stp>
        <stp>AMZN US Equity</stp>
        <stp>IS_FOREIGN_EXCH_LOSS</stp>
        <stp>FQ1 2004</stp>
        <stp>FQ1 2004</stp>
        <stp>[FA1_j2ahgkxc.xlsx]Income - Adjusted!R16C23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6" s="2"/>
      </tp>
      <tp>
        <v>0</v>
        <stp/>
        <stp>##V3_BDHV12</stp>
        <stp>AMZN US Equity</stp>
        <stp>IS_FOREIGN_EXCH_LOSS</stp>
        <stp>FQ1 2002</stp>
        <stp>FQ1 2002</stp>
        <stp>[FA1_j2ahgkxc.xlsx]Income - Adjusted!R16C15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6" s="2"/>
      </tp>
      <tp>
        <v>0</v>
        <stp/>
        <stp>##V3_BDHV12</stp>
        <stp>AMZN US Equity</stp>
        <stp>INVTRY_RAW_MATERIALS</stp>
        <stp>FQ4 2002</stp>
        <stp>FQ4 2002</stp>
        <stp>[FA1_j2ahgkxc.xlsx]Bal Sheet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3"/>
      </tp>
      <tp>
        <v>49.363999999999997</v>
        <stp/>
        <stp>##V3_BDHV12</stp>
        <stp>AMZN US Equity</stp>
        <stp>BS_ACCUM_DEPR</stp>
        <stp>FQ4 1999</stp>
        <stp>FQ4 1999</stp>
        <stp>[FA1_j2ahgkxc.xlsx]Bal Sheet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3"/>
      </tp>
      <tp>
        <v>26.895</v>
        <stp/>
        <stp>##V3_BDHV12</stp>
        <stp>AMZN US Equity</stp>
        <stp>BS_ACCUM_DEPR</stp>
        <stp>FQ2 1999</stp>
        <stp>FQ2 1999</stp>
        <stp>[FA1_j2ahgkxc.xlsx]Bal Sheet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3"/>
      </tp>
      <tp>
        <v>13.794</v>
        <stp/>
        <stp>##V3_BDHV12</stp>
        <stp>AMZN US Equity</stp>
        <stp>BS_ACCUM_DEPR</stp>
        <stp>FQ4 1998</stp>
        <stp>FQ4 1998</stp>
        <stp>[FA1_j2ahgkxc.xlsx]Bal Sheet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18.785</v>
        <stp/>
        <stp>##V3_BDHV12</stp>
        <stp>AMZN US Equity</stp>
        <stp>BS_ACCUM_DEPR</stp>
        <stp>FQ1 1999</stp>
        <stp>FQ1 1999</stp>
        <stp>[FA1_j2ahgkxc.xlsx]Bal Sheet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3"/>
      </tp>
      <tp>
        <v>35.631</v>
        <stp/>
        <stp>##V3_BDHV12</stp>
        <stp>AMZN US Equity</stp>
        <stp>BS_ACCUM_DEPR</stp>
        <stp>FQ3 1999</stp>
        <stp>FQ3 1999</stp>
        <stp>[FA1_j2ahgkxc.xlsx]Bal Sheet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0</v>
        <stp/>
        <stp>##V3_BDHV12</stp>
        <stp>AMZN US Equity</stp>
        <stp>CF_DVD_PAID</stp>
        <stp>FQ2 2006</stp>
        <stp>FQ2 2006</stp>
        <stp>[FA1_j2ahgkxc.xlsx]Cash Flow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4"/>
      </tp>
      <tp>
        <v>0</v>
        <stp/>
        <stp>##V3_BDHV12</stp>
        <stp>AMZN US Equity</stp>
        <stp>CF_DVD_PAID</stp>
        <stp>FQ3 2004</stp>
        <stp>FQ3 2004</stp>
        <stp>[FA1_j2ahgkxc.xlsx]Cash Flow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4"/>
      </tp>
      <tp>
        <v>1.4535</v>
        <stp/>
        <stp>##V3_BDHV12</stp>
        <stp>AMZN US Equity</stp>
        <stp>CUR_RATIO</stp>
        <stp>FQ4 2003</stp>
        <stp>FQ4 2003</stp>
        <stp>[FA1_j2ahgkxc.xlsx]Bal Sheet - Standardized!R68C22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8" s="3"/>
      </tp>
      <tp>
        <v>0</v>
        <stp/>
        <stp>##V3_BDHV12</stp>
        <stp>AMZN US Equity</stp>
        <stp>CF_DVD_PAID</stp>
        <stp>FQ2 2007</stp>
        <stp>FQ2 2007</stp>
        <stp>[FA1_j2ahgkxc.xlsx]Cash Flow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4"/>
      </tp>
      <tp>
        <v>0.01</v>
        <stp/>
        <stp>##V3_BDHV12</stp>
        <stp>AMZN US Equity</stp>
        <stp>IS_DIL_EPS_BEF_XO</stp>
        <stp>FQ4 2002</stp>
        <stp>FQ4 2002</stp>
        <stp>[FA1_j2ahgkxc.xlsx]Income - Adjusted!R41C18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1" s="2"/>
      </tp>
      <tp>
        <v>0.52</v>
        <stp/>
        <stp>##V3_BDHV12</stp>
        <stp>AMZN US Equity</stp>
        <stp>IS_DIL_EPS_BEF_XO</stp>
        <stp>FQ4 2008</stp>
        <stp>FQ4 2008</stp>
        <stp>[FA1_j2ahgkxc.xlsx]Income - Adjusted!R41C42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1" s="2"/>
      </tp>
      <tp>
        <v>-0.03</v>
        <stp/>
        <stp>##V3_BDHV12</stp>
        <stp>AMZN US Equity</stp>
        <stp>IS_DIL_EPS_BEF_XO</stp>
        <stp>FQ1 2003</stp>
        <stp>FQ1 2003</stp>
        <stp>[FA1_j2ahgkxc.xlsx]Income - Adjusted!R41C19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1" s="2"/>
      </tp>
      <tp>
        <v>0</v>
        <stp/>
        <stp>##V3_BDHV12</stp>
        <stp>AMZN US Equity</stp>
        <stp>CF_DVD_PAID</stp>
        <stp>FQ3 2003</stp>
        <stp>FQ3 2003</stp>
        <stp>[FA1_j2ahgkxc.xlsx]Cash Flow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4"/>
      </tp>
      <tp>
        <v>0</v>
        <stp/>
        <stp>##V3_BDHV12</stp>
        <stp>AMZN US Equity</stp>
        <stp>CF_DVD_PAID</stp>
        <stp>FQ3 2005</stp>
        <stp>FQ3 2005</stp>
        <stp>[FA1_j2ahgkxc.xlsx]Cash Flow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4"/>
      </tp>
      <tp>
        <v>39.225000000000001</v>
        <stp/>
        <stp>##V3_BDHV12</stp>
        <stp>AMZN US Equity</stp>
        <stp>IS_OPER_INC</stp>
        <stp>FQ1 2003</stp>
        <stp>FQ1 2003</stp>
        <stp>[FA1_j2ahgkxc.xlsx]Income - Adjusted!R12C19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272</v>
        <stp/>
        <stp>##V3_BDHV12</stp>
        <stp>AMZN US Equity</stp>
        <stp>IS_OPER_INC</stp>
        <stp>FQ4 2008</stp>
        <stp>FQ4 2008</stp>
        <stp>[FA1_j2ahgkxc.xlsx]Income - Adjusted!R12C42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2" s="2"/>
      </tp>
      <tp>
        <v>65.364999999999995</v>
        <stp/>
        <stp>##V3_BDHV12</stp>
        <stp>AMZN US Equity</stp>
        <stp>IS_OPER_INC</stp>
        <stp>FQ4 2002</stp>
        <stp>FQ4 2002</stp>
        <stp>[FA1_j2ahgkxc.xlsx]Income - Adjusted!R12C18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0.35010000000000002</v>
        <stp/>
        <stp>##V3_BDHV12</stp>
        <stp>AMZN US Equity</stp>
        <stp>EBITDA_PER_SH</stp>
        <stp>FQ1 2006</stp>
        <stp>FQ1 2006</stp>
        <stp>[FA1_j2ahgkxc.xlsx]Per Share!R12C31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2" s="5"/>
      </tp>
      <tp>
        <v>0.50239999999999996</v>
        <stp/>
        <stp>##V3_BDHV12</stp>
        <stp>AMZN US Equity</stp>
        <stp>EBITDA_PER_SH</stp>
        <stp>FQ1 2007</stp>
        <stp>FQ1 2007</stp>
        <stp>[FA1_j2ahgkxc.xlsx]Per Share!R12C35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2" s="5"/>
      </tp>
      <tp>
        <v>0.33169999999999999</v>
        <stp/>
        <stp>##V3_BDHV12</stp>
        <stp>AMZN US Equity</stp>
        <stp>EBITDA_PER_SH</stp>
        <stp>FQ1 2005</stp>
        <stp>FQ1 2005</stp>
        <stp>[FA1_j2ahgkxc.xlsx]Per Share!R12C27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2" s="5"/>
      </tp>
      <tp>
        <v>0.3175</v>
        <stp/>
        <stp>##V3_BDHV12</stp>
        <stp>AMZN US Equity</stp>
        <stp>EBITDA_PER_SH</stp>
        <stp>FQ1 2004</stp>
        <stp>FQ1 2004</stp>
        <stp>[FA1_j2ahgkxc.xlsx]Per Share!R12C23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2" s="5"/>
      </tp>
      <tp>
        <v>-7.9600000000000004E-2</v>
        <stp/>
        <stp>##V3_BDHV12</stp>
        <stp>AMZN US Equity</stp>
        <stp>EBITDA_PER_SH</stp>
        <stp>FQ1 2001</stp>
        <stp>FQ1 2001</stp>
        <stp>[FA1_j2ahgkxc.xlsx]Per Share!R12C11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2" s="5"/>
      </tp>
      <tp>
        <v>9.2899999999999996E-2</v>
        <stp/>
        <stp>##V3_BDHV12</stp>
        <stp>AMZN US Equity</stp>
        <stp>EBITDA_PER_SH</stp>
        <stp>FQ1 2002</stp>
        <stp>FQ1 2002</stp>
        <stp>[FA1_j2ahgkxc.xlsx]Per Share!R12C15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2" s="5"/>
      </tp>
      <tp>
        <v>0.15179999999999999</v>
        <stp/>
        <stp>##V3_BDHV12</stp>
        <stp>AMZN US Equity</stp>
        <stp>EBITDA_PER_SH</stp>
        <stp>FQ1 2003</stp>
        <stp>FQ1 2003</stp>
        <stp>[FA1_j2ahgkxc.xlsx]Per Share!R12C19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2" s="5"/>
      </tp>
      <tp>
        <v>0.63070000000000004</v>
        <stp/>
        <stp>##V3_BDHV12</stp>
        <stp>AMZN US Equity</stp>
        <stp>EBITDA_PER_SH</stp>
        <stp>FQ1 2008</stp>
        <stp>FQ1 2008</stp>
        <stp>[FA1_j2ahgkxc.xlsx]Per Share!R12C39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2" s="5"/>
      </tp>
      <tp>
        <v>45.3</v>
        <stp/>
        <stp>##V3_BDHV12</stp>
        <stp>AMZN US Equity</stp>
        <stp>PX_LAST</stp>
        <stp>FQ3 2005</stp>
        <stp>FQ3 2005</stp>
        <stp>[FA1_j2ahgkxc.xlsx]Stock Value!R6C29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6"/>
      </tp>
      <tp>
        <v>0.20580000000000001</v>
        <stp/>
        <stp>##V3_BDHV12</stp>
        <stp>AMZN US Equity</stp>
        <stp>EBITDA_PER_SH</stp>
        <stp>FQ3 2005</stp>
        <stp>FQ3 2005</stp>
        <stp>[FA1_j2ahgkxc.xlsx]Per Share!R12C29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2" s="5"/>
      </tp>
      <tp>
        <v>0.24679999999999999</v>
        <stp/>
        <stp>##V3_BDHV12</stp>
        <stp>AMZN US Equity</stp>
        <stp>EBITDA_PER_SH</stp>
        <stp>FQ3 2004</stp>
        <stp>FQ3 2004</stp>
        <stp>[FA1_j2ahgkxc.xlsx]Per Share!R12C25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2" s="5"/>
      </tp>
      <tp>
        <v>0.247</v>
        <stp/>
        <stp>##V3_BDHV12</stp>
        <stp>AMZN US Equity</stp>
        <stp>EBITDA_PER_SH</stp>
        <stp>FQ3 2006</stp>
        <stp>FQ3 2006</stp>
        <stp>[FA1_j2ahgkxc.xlsx]Per Share!R12C33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2" s="5"/>
      </tp>
      <tp>
        <v>0.44440000000000002</v>
        <stp/>
        <stp>##V3_BDHV12</stp>
        <stp>AMZN US Equity</stp>
        <stp>EBITDA_PER_SH</stp>
        <stp>FQ3 2007</stp>
        <stp>FQ3 2007</stp>
        <stp>[FA1_j2ahgkxc.xlsx]Per Share!R12C37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2" s="5"/>
      </tp>
      <tp>
        <v>0.12859999999999999</v>
        <stp/>
        <stp>##V3_BDHV12</stp>
        <stp>AMZN US Equity</stp>
        <stp>EBITDA_PER_SH</stp>
        <stp>FQ3 2002</stp>
        <stp>FQ3 2002</stp>
        <stp>[FA1_j2ahgkxc.xlsx]Per Share!R12C17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2" s="5"/>
      </tp>
      <tp>
        <v>0.17660000000000001</v>
        <stp/>
        <stp>##V3_BDHV12</stp>
        <stp>AMZN US Equity</stp>
        <stp>EBITDA_PER_SH</stp>
        <stp>FQ3 2003</stp>
        <stp>FQ3 2003</stp>
        <stp>[FA1_j2ahgkxc.xlsx]Per Share!R12C21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2" s="5"/>
      </tp>
      <tp>
        <v>-1.2800000000000001E-2</v>
        <stp/>
        <stp>##V3_BDHV12</stp>
        <stp>AMZN US Equity</stp>
        <stp>EBITDA_PER_SH</stp>
        <stp>FQ3 2001</stp>
        <stp>FQ3 2001</stp>
        <stp>[FA1_j2ahgkxc.xlsx]Per Share!R12C13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2" s="5"/>
      </tp>
      <tp>
        <v>0.53859999999999997</v>
        <stp/>
        <stp>##V3_BDHV12</stp>
        <stp>AMZN US Equity</stp>
        <stp>EBITDA_PER_SH</stp>
        <stp>FQ3 2008</stp>
        <stp>FQ3 2008</stp>
        <stp>[FA1_j2ahgkxc.xlsx]Per Share!R12C41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2" s="5"/>
      </tp>
      <tp>
        <v>0</v>
        <stp/>
        <stp>##V3_BDHV12</stp>
        <stp>AMZN US Equity</stp>
        <stp>BS_PFD_EQTY_&amp;_HYBRID_CPTL</stp>
        <stp>FQ4 2000</stp>
        <stp>FQ4 2000</stp>
        <stp>[FA1_j2ahgkxc.xlsx]Bal Sheet - Standardized!R47C10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3"/>
      </tp>
      <tp>
        <v>71.3</v>
        <stp/>
        <stp>##V3_BDHV12</stp>
        <stp>AMZN US Equity</stp>
        <stp>PX_LAST</stp>
        <stp>FQ1 2008</stp>
        <stp>FQ1 2008</stp>
        <stp>[FA1_j2ahgkxc.xlsx]Stock Value!R6C39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6"/>
      </tp>
      <tp>
        <v>26.03</v>
        <stp/>
        <stp>##V3_BDHV12</stp>
        <stp>AMZN US Equity</stp>
        <stp>PX_LAST</stp>
        <stp>FQ1 2003</stp>
        <stp>FQ1 2003</stp>
        <stp>[FA1_j2ahgkxc.xlsx]Stock Value!R6C19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6"/>
      </tp>
      <tp>
        <v>0.24</v>
        <stp/>
        <stp>##V3_BDHV12</stp>
        <stp>AMZN US Equity</stp>
        <stp>EBITDA_PER_SH</stp>
        <stp>FQ2 2004</stp>
        <stp>FQ2 2004</stp>
        <stp>[FA1_j2ahgkxc.xlsx]Per Share!R12C24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2" s="5"/>
      </tp>
      <tp>
        <v>0.31630000000000003</v>
        <stp/>
        <stp>##V3_BDHV12</stp>
        <stp>AMZN US Equity</stp>
        <stp>EBITDA_PER_SH</stp>
        <stp>FQ2 2005</stp>
        <stp>FQ2 2005</stp>
        <stp>[FA1_j2ahgkxc.xlsx]Per Share!R12C28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2" s="5"/>
      </tp>
      <tp>
        <v>0.42720000000000002</v>
        <stp/>
        <stp>##V3_BDHV12</stp>
        <stp>AMZN US Equity</stp>
        <stp>EBITDA_PER_SH</stp>
        <stp>FQ2 2007</stp>
        <stp>FQ2 2007</stp>
        <stp>[FA1_j2ahgkxc.xlsx]Per Share!R12C36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2" s="5"/>
      </tp>
      <tp>
        <v>0.21529999999999999</v>
        <stp/>
        <stp>##V3_BDHV12</stp>
        <stp>AMZN US Equity</stp>
        <stp>EBITDA_PER_SH</stp>
        <stp>FQ2 2006</stp>
        <stp>FQ2 2006</stp>
        <stp>[FA1_j2ahgkxc.xlsx]Per Share!R12C32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2" s="5"/>
      </tp>
      <tp>
        <v>6.3200000000000006E-2</v>
        <stp/>
        <stp>##V3_BDHV12</stp>
        <stp>AMZN US Equity</stp>
        <stp>EBITDA_PER_SH</stp>
        <stp>FQ2 2002</stp>
        <stp>FQ2 2002</stp>
        <stp>[FA1_j2ahgkxc.xlsx]Per Share!R12C16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2" s="5"/>
      </tp>
      <tp>
        <v>-2.6599999999999999E-2</v>
        <stp/>
        <stp>##V3_BDHV12</stp>
        <stp>AMZN US Equity</stp>
        <stp>EBITDA_PER_SH</stp>
        <stp>FQ2 2001</stp>
        <stp>FQ2 2001</stp>
        <stp>[FA1_j2ahgkxc.xlsx]Per Share!R12C12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2" s="5"/>
      </tp>
      <tp>
        <v>0.15440000000000001</v>
        <stp/>
        <stp>##V3_BDHV12</stp>
        <stp>AMZN US Equity</stp>
        <stp>EBITDA_PER_SH</stp>
        <stp>FQ2 2003</stp>
        <stp>FQ2 2003</stp>
        <stp>[FA1_j2ahgkxc.xlsx]Per Share!R12C20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2" s="5"/>
      </tp>
      <tp>
        <v>0.68330000000000002</v>
        <stp/>
        <stp>##V3_BDHV12</stp>
        <stp>AMZN US Equity</stp>
        <stp>EBITDA_PER_SH</stp>
        <stp>FQ2 2008</stp>
        <stp>FQ2 2008</stp>
        <stp>[FA1_j2ahgkxc.xlsx]Per Share!R12C40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2" s="5"/>
      </tp>
      <tp>
        <v>0.21640000000000001</v>
        <stp/>
        <stp>##V3_BDHV12</stp>
        <stp>AMZN US Equity</stp>
        <stp>EBITDA_PER_SH</stp>
        <stp>FQ4 2001</stp>
        <stp>FQ4 2001</stp>
        <stp>[FA1_j2ahgkxc.xlsx]Per Share!R12C14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2" s="5"/>
      </tp>
      <tp>
        <v>-0.17430000000000001</v>
        <stp/>
        <stp>##V3_BDHV12</stp>
        <stp>AMZN US Equity</stp>
        <stp>EBITDA_PER_SH</stp>
        <stp>FQ4 2000</stp>
        <stp>FQ4 2000</stp>
        <stp>[FA1_j2ahgkxc.xlsx]Per Share!R12C10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2" s="5"/>
      </tp>
      <tp>
        <v>0.38950000000000001</v>
        <stp/>
        <stp>##V3_BDHV12</stp>
        <stp>AMZN US Equity</stp>
        <stp>EBITDA_PER_SH</stp>
        <stp>FQ4 2003</stp>
        <stp>FQ4 2003</stp>
        <stp>[FA1_j2ahgkxc.xlsx]Per Share!R12C22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2" s="5"/>
      </tp>
      <tp>
        <v>0.22450000000000001</v>
        <stp/>
        <stp>##V3_BDHV12</stp>
        <stp>AMZN US Equity</stp>
        <stp>EBITDA_PER_SH</stp>
        <stp>FQ4 2002</stp>
        <stp>FQ4 2002</stp>
        <stp>[FA1_j2ahgkxc.xlsx]Per Share!R12C18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2" s="5"/>
      </tp>
      <tp>
        <v>0.80289999999999995</v>
        <stp/>
        <stp>##V3_BDHV12</stp>
        <stp>AMZN US Equity</stp>
        <stp>EBITDA_PER_SH</stp>
        <stp>FQ4 2007</stp>
        <stp>FQ4 2007</stp>
        <stp>[FA1_j2ahgkxc.xlsx]Per Share!R12C38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2" s="5"/>
      </tp>
      <tp>
        <v>0.61299999999999999</v>
        <stp/>
        <stp>##V3_BDHV12</stp>
        <stp>AMZN US Equity</stp>
        <stp>EBITDA_PER_SH</stp>
        <stp>FQ4 2006</stp>
        <stp>FQ4 2006</stp>
        <stp>[FA1_j2ahgkxc.xlsx]Per Share!R12C34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2" s="5"/>
      </tp>
      <tp>
        <v>0.46650000000000003</v>
        <stp/>
        <stp>##V3_BDHV12</stp>
        <stp>AMZN US Equity</stp>
        <stp>EBITDA_PER_SH</stp>
        <stp>FQ4 2004</stp>
        <stp>FQ4 2004</stp>
        <stp>[FA1_j2ahgkxc.xlsx]Per Share!R12C26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2" s="5"/>
      </tp>
      <tp>
        <v>0.48670000000000002</v>
        <stp/>
        <stp>##V3_BDHV12</stp>
        <stp>AMZN US Equity</stp>
        <stp>EBITDA_PER_SH</stp>
        <stp>FQ4 2005</stp>
        <stp>FQ4 2005</stp>
        <stp>[FA1_j2ahgkxc.xlsx]Per Share!R12C30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2" s="5"/>
      </tp>
      <tp>
        <v>0.81540000000000001</v>
        <stp/>
        <stp>##V3_BDHV12</stp>
        <stp>AMZN US Equity</stp>
        <stp>EBITDA_PER_SH</stp>
        <stp>FQ4 2008</stp>
        <stp>FQ4 2008</stp>
        <stp>[FA1_j2ahgkxc.xlsx]Per Share!R12C42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2" s="5"/>
      </tp>
      <tp>
        <v>0</v>
        <stp/>
        <stp>##V3_BDHV12</stp>
        <stp>AMZN US Equity</stp>
        <stp>BS_PFD_EQTY_&amp;_HYBRID_CPTL</stp>
        <stp>FQ4 2001</stp>
        <stp>FQ4 2001</stp>
        <stp>[FA1_j2ahgkxc.xlsx]Bal Sheet - Standardized!R47C14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3"/>
      </tp>
      <tp>
        <v>0</v>
        <stp/>
        <stp>##V3_BDHV12</stp>
        <stp>AMZN US Equity</stp>
        <stp>BS_PFD_EQTY_&amp;_HYBRID_CPTL</stp>
        <stp>FQ4 2002</stp>
        <stp>FQ4 2002</stp>
        <stp>[FA1_j2ahgkxc.xlsx]Bal Sheet - Standardized!R47C18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3"/>
      </tp>
      <tp>
        <v>-46.356000000000002</v>
        <stp/>
        <stp>##V3_BDHV12</stp>
        <stp>AMZN US Equity</stp>
        <stp>EBITDA</stp>
        <stp>FQ1 1999</stp>
        <stp>FQ1 1999</stp>
        <stp>[FA1_j2ahgkxc.xlsx]Cash Flow - Standardized!R45C3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5" s="4"/>
      </tp>
      <tp>
        <v>-52.925199999999997</v>
        <stp/>
        <stp>##V3_BDHV12</stp>
        <stp>AMZN US Equity</stp>
        <stp>NET_DEBT_TO_SHRHLDR_EQTY</stp>
        <stp>FQ1 2008</stp>
        <stp>FQ1 2008</stp>
        <stp>[FA1_j2ahgkxc.xlsx]Bal Sheet - Standardized!R66C39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6" s="3"/>
      </tp>
      <tp>
        <v>90.870999999999995</v>
        <stp/>
        <stp>##V3_BDHV12</stp>
        <stp>AMZN US Equity</stp>
        <stp>EBITDA</stp>
        <stp>FQ4 1999</stp>
        <stp>FQ4 1999</stp>
        <stp>[FA1_j2ahgkxc.xlsx]Cash Flow - Standardized!R45C6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5" s="4"/>
      </tp>
      <tp>
        <v>-240.524</v>
        <stp/>
        <stp>##V3_BDHV12</stp>
        <stp>AMZN US Equity</stp>
        <stp>IS_INC_BEF_XO_ITEM</stp>
        <stp>FQ3 2000</stp>
        <stp>FQ3 2000</stp>
        <stp>[FA1_j2ahgkxc.xlsx]Income - Adjusted!R22C9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2"/>
      </tp>
      <tp>
        <v>-197.08</v>
        <stp/>
        <stp>##V3_BDHV12</stp>
        <stp>AMZN US Equity</stp>
        <stp>IS_INC_BEF_XO_ITEM</stp>
        <stp>FQ3 1999</stp>
        <stp>FQ3 1999</stp>
        <stp>[FA1_j2ahgkxc.xlsx]Income - Adjusted!R22C6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2"/>
      </tp>
      <tp>
        <v>0.13</v>
        <stp/>
        <stp>##V3_BDHV12</stp>
        <stp>AMZN US Equity</stp>
        <stp>IS_DIL_EPS_CONT_OPS</stp>
        <stp>FQ3 2005</stp>
        <stp>FQ3 2005</stp>
        <stp>[FA1_j2ahgkxc.xlsx]Per Share!R19C29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9" s="5"/>
      </tp>
      <tp>
        <v>0</v>
        <stp/>
        <stp>##V3_BDHV12</stp>
        <stp>AMZN US Equity</stp>
        <stp>BS_LT_INVEST</stp>
        <stp>FQ3 2007</stp>
        <stp>FQ3 2007</stp>
        <stp>[FA1_j2ahgkxc.xlsx]Bal Sheet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3"/>
      </tp>
      <tp>
        <v>2172.1640000000002</v>
        <stp/>
        <stp>##V3_BDHV12</stp>
        <stp>AMZN US Equity</stp>
        <stp>BS_LT_BORROW</stp>
        <stp>FQ3 2001</stp>
        <stp>FQ3 2001</stp>
        <stp>[FA1_j2ahgkxc.xlsx]Bal Sheet - Standardized!R40C13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0" s="3"/>
      </tp>
      <tp>
        <v>377.798</v>
        <stp/>
        <stp>##V3_BDHV12</stp>
        <stp>AMZN US Equity</stp>
        <stp>BS_TOT_NON_CUR_ASSET</stp>
        <stp>FQ3 2002</stp>
        <stp>FQ3 2002</stp>
        <stp>[FA1_j2ahgkxc.xlsx]Bal Sheet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3"/>
      </tp>
      <tp>
        <v>804</v>
        <stp/>
        <stp>##V3_BDHV12</stp>
        <stp>AMZN US Equity</stp>
        <stp>BS_TOT_NON_CUR_ASSET</stp>
        <stp>FQ1 2006</stp>
        <stp>FQ1 2006</stp>
        <stp>[FA1_j2ahgkxc.xlsx]Bal Sheet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3"/>
      </tp>
      <tp t="s">
        <v>—</v>
        <stp/>
        <stp>##V3_BDHV12</stp>
        <stp>AMZN US Equity</stp>
        <stp>BS_LT_INVEST</stp>
        <stp>FQ2 2004</stp>
        <stp>FQ2 2004</stp>
        <stp>[FA1_j2ahgkxc.xlsx]Bal Sheet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3"/>
      </tp>
      <tp>
        <v>467</v>
        <stp/>
        <stp>##V3_BDHV12</stp>
        <stp>AMZN US Equity</stp>
        <stp>BS_LT_BORROW</stp>
        <stp>FQ1 2008</stp>
        <stp>FQ1 2008</stp>
        <stp>[FA1_j2ahgkxc.xlsx]Bal Sheet - Standardized!R40C39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0" s="3"/>
      </tp>
      <tp>
        <v>51.042000000000002</v>
        <stp/>
        <stp>##V3_BDHV12</stp>
        <stp>AMZN US Equity</stp>
        <stp>BS_LT_INVEST</stp>
        <stp>FQ1 2001</stp>
        <stp>FQ1 2001</stp>
        <stp>[FA1_j2ahgkxc.xlsx]Bal Sheet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3"/>
      </tp>
      <tp>
        <v>12.763999999999999</v>
        <stp/>
        <stp>##V3_BDHV12</stp>
        <stp>AMZN US Equity</stp>
        <stp>BS_LT_INVEST</stp>
        <stp>FQ2 2003</stp>
        <stp>FQ2 2003</stp>
        <stp>[FA1_j2ahgkxc.xlsx]Bal Sheet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3"/>
      </tp>
      <tp>
        <v>1251</v>
        <stp/>
        <stp>##V3_BDHV12</stp>
        <stp>AMZN US Equity</stp>
        <stp>BS_LT_BORROW</stp>
        <stp>FQ1 2007</stp>
        <stp>FQ1 2007</stp>
        <stp>[FA1_j2ahgkxc.xlsx]Bal Sheet - Standardized!R40C35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0" s="3"/>
      </tp>
      <tp>
        <v>1061</v>
        <stp/>
        <stp>##V3_BDHV12</stp>
        <stp>AMZN US Equity</stp>
        <stp>BS_TOT_NON_CUR_ASSET</stp>
        <stp>FQ1 2007</stp>
        <stp>FQ1 2007</stp>
        <stp>[FA1_j2ahgkxc.xlsx]Bal Sheet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3"/>
      </tp>
      <tp>
        <v>16.77</v>
        <stp/>
        <stp>##V3_BDHV12</stp>
        <stp>AMZN US Equity</stp>
        <stp>BS_LT_INVEST</stp>
        <stp>FQ1 2002</stp>
        <stp>FQ1 2002</stp>
        <stp>[FA1_j2ahgkxc.xlsx]Bal Sheet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3"/>
      </tp>
      <tp>
        <v>0</v>
        <stp/>
        <stp>##V3_BDHV12</stp>
        <stp>AMZN US Equity</stp>
        <stp>BS_LT_INVEST</stp>
        <stp>FQ3 2006</stp>
        <stp>FQ3 2006</stp>
        <stp>[FA1_j2ahgkxc.xlsx]Bal Sheet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3"/>
      </tp>
      <tp>
        <v>476.09199999999998</v>
        <stp/>
        <stp>##V3_BDHV12</stp>
        <stp>AMZN US Equity</stp>
        <stp>BS_TOT_NON_CUR_ASSET</stp>
        <stp>FQ3 2001</stp>
        <stp>FQ3 2001</stp>
        <stp>[FA1_j2ahgkxc.xlsx]Bal Sheet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3"/>
      </tp>
      <tp>
        <v>1918</v>
        <stp/>
        <stp>##V3_BDHV12</stp>
        <stp>AMZN US Equity</stp>
        <stp>BS_TOT_NON_CUR_ASSET</stp>
        <stp>FQ1 2008</stp>
        <stp>FQ1 2008</stp>
        <stp>[FA1_j2ahgkxc.xlsx]Bal Sheet - Standardized!R28C39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3"/>
      </tp>
      <tp>
        <v>1259</v>
        <stp/>
        <stp>##V3_BDHV12</stp>
        <stp>AMZN US Equity</stp>
        <stp>BS_LT_BORROW</stp>
        <stp>FQ1 2006</stp>
        <stp>FQ1 2006</stp>
        <stp>[FA1_j2ahgkxc.xlsx]Bal Sheet - Standardized!R40C31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0" s="3"/>
      </tp>
      <tp>
        <v>2264.8458999999998</v>
        <stp/>
        <stp>##V3_BDHV12</stp>
        <stp>AMZN US Equity</stp>
        <stp>BS_LT_BORROW</stp>
        <stp>FQ3 2002</stp>
        <stp>FQ3 2002</stp>
        <stp>[FA1_j2ahgkxc.xlsx]Bal Sheet - Standardized!R40C17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0" s="3"/>
      </tp>
      <tp>
        <v>13.452999999999999</v>
        <stp/>
        <stp>##V3_BDHV12</stp>
        <stp>AMZN US Equity</stp>
        <stp>BS_LT_INVEST</stp>
        <stp>FQ1 2003</stp>
        <stp>FQ1 2003</stp>
        <stp>[FA1_j2ahgkxc.xlsx]Bal Sheet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3"/>
      </tp>
      <tp>
        <v>0</v>
        <stp/>
        <stp>##V3_BDHV12</stp>
        <stp>AMZN US Equity</stp>
        <stp>BS_LT_INVEST</stp>
        <stp>FQ2 2005</stp>
        <stp>FQ2 2005</stp>
        <stp>[FA1_j2ahgkxc.xlsx]Bal Sheet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3"/>
      </tp>
      <tp t="s">
        <v>—</v>
        <stp/>
        <stp>##V3_BDHV12</stp>
        <stp>AMZN US Equity</stp>
        <stp>BS_LT_INVEST</stp>
        <stp>FQ4 2008</stp>
        <stp>FQ4 2008</stp>
        <stp>[FA1_j2ahgkxc.xlsx]Bal Sheet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3"/>
      </tp>
      <tp>
        <v>196</v>
        <stp/>
        <stp>##V3_BDHV12</stp>
        <stp>AMZN US Equity</stp>
        <stp>EBIT</stp>
        <stp>FQ4 2006</stp>
        <stp>FQ4 2006</stp>
        <stp>[FA1_j2ahgkxc.xlsx]Income - Adjusted!R49C34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9" s="2"/>
      </tp>
      <tp>
        <v>169.59200000000001</v>
        <stp/>
        <stp>##V3_BDHV12</stp>
        <stp>AMZN US Equity</stp>
        <stp>EBIT</stp>
        <stp>FQ4 2004</stp>
        <stp>FQ4 2004</stp>
        <stp>[FA1_j2ahgkxc.xlsx]Income - Adjusted!R49C26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9" s="2"/>
      </tp>
      <tp>
        <v>51.930999999999997</v>
        <stp/>
        <stp>##V3_BDHV12</stp>
        <stp>AMZN US Equity</stp>
        <stp>EBIT</stp>
        <stp>FQ3 2003</stp>
        <stp>FQ3 2003</stp>
        <stp>[FA1_j2ahgkxc.xlsx]Income - Adjusted!R49C21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9" s="2"/>
      </tp>
      <tp>
        <v>-66.34</v>
        <stp/>
        <stp>##V3_BDHV12</stp>
        <stp>AMZN US Equity</stp>
        <stp>EBIT</stp>
        <stp>FQ3 2001</stp>
        <stp>FQ3 2001</stp>
        <stp>[FA1_j2ahgkxc.xlsx]Income - Adjusted!R49C13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9" s="2"/>
      </tp>
      <tp>
        <v>145</v>
        <stp/>
        <stp>##V3_BDHV12</stp>
        <stp>AMZN US Equity</stp>
        <stp>EBIT</stp>
        <stp>FQ1 2007</stp>
        <stp>FQ1 2007</stp>
        <stp>[FA1_j2ahgkxc.xlsx]Income - Adjusted!R49C35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9" s="2"/>
      </tp>
      <tp>
        <v>108</v>
        <stp/>
        <stp>##V3_BDHV12</stp>
        <stp>AMZN US Equity</stp>
        <stp>EBIT</stp>
        <stp>FQ1 2005</stp>
        <stp>FQ1 2005</stp>
        <stp>[FA1_j2ahgkxc.xlsx]Income - Adjusted!R49C27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9" s="2"/>
      </tp>
      <tp>
        <v>0.12</v>
        <stp/>
        <stp>##V3_BDHV12</stp>
        <stp>AMZN US Equity</stp>
        <stp>IS_EARN_BEF_XO_ITEMS_PER_SH</stp>
        <stp>FQ1 2006</stp>
        <stp>FQ1 2006</stp>
        <stp>[FA1_j2ahgkxc.xlsx]Income - Adjusted!R36C31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6" s="2"/>
      </tp>
      <tp>
        <v>0.28000000000000003</v>
        <stp/>
        <stp>##V3_BDHV12</stp>
        <stp>AMZN US Equity</stp>
        <stp>IS_EARN_BEF_XO_ITEMS_PER_SH</stp>
        <stp>FQ1 2004</stp>
        <stp>FQ1 2004</stp>
        <stp>[FA1_j2ahgkxc.xlsx]Income - Adjusted!R36C23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6" s="2"/>
      </tp>
      <tp>
        <v>-0.06</v>
        <stp/>
        <stp>##V3_BDHV12</stp>
        <stp>AMZN US Equity</stp>
        <stp>IS_EARN_BEF_XO_ITEMS_PER_SH</stp>
        <stp>FQ1 2002</stp>
        <stp>FQ1 2002</stp>
        <stp>[FA1_j2ahgkxc.xlsx]Income - Adjusted!R36C15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6" s="2"/>
      </tp>
      <tp>
        <v>0</v>
        <stp/>
        <stp>##V3_BDHV12</stp>
        <stp>AMZN US Equity</stp>
        <stp>CF_DVD_PAID</stp>
        <stp>FQ1 2002</stp>
        <stp>FQ1 2002</stp>
        <stp>[FA1_j2ahgkxc.xlsx]Cash Flow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4"/>
      </tp>
      <tp>
        <v>0</v>
        <stp/>
        <stp>##V3_BDHV12</stp>
        <stp>AMZN US Equity</stp>
        <stp>CF_DVD_PAID</stp>
        <stp>FQ3 2006</stp>
        <stp>FQ3 2006</stp>
        <stp>[FA1_j2ahgkxc.xlsx]Cash Flow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4"/>
      </tp>
      <tp>
        <v>0</v>
        <stp/>
        <stp>##V3_BDHV12</stp>
        <stp>AMZN US Equity</stp>
        <stp>CF_DVD_PAID</stp>
        <stp>FQ2 2004</stp>
        <stp>FQ2 2004</stp>
        <stp>[FA1_j2ahgkxc.xlsx]Cash Flow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4"/>
      </tp>
      <tp>
        <v>0</v>
        <stp/>
        <stp>##V3_BDHV12</stp>
        <stp>AMZN US Equity</stp>
        <stp>CF_DVD_PAID</stp>
        <stp>FQ3 2007</stp>
        <stp>FQ3 2007</stp>
        <stp>[FA1_j2ahgkxc.xlsx]Cash Flow - Standardized!R31C37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4"/>
      </tp>
      <tp>
        <v>0</v>
        <stp/>
        <stp>##V3_BDHV12</stp>
        <stp>AMZN US Equity</stp>
        <stp>CF_DVD_PAID</stp>
        <stp>FQ2 2003</stp>
        <stp>FQ2 2003</stp>
        <stp>[FA1_j2ahgkxc.xlsx]Cash Flow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4"/>
      </tp>
      <tp>
        <v>0</v>
        <stp/>
        <stp>##V3_BDHV12</stp>
        <stp>AMZN US Equity</stp>
        <stp>CF_DVD_PAID</stp>
        <stp>FQ1 2001</stp>
        <stp>FQ1 2001</stp>
        <stp>[FA1_j2ahgkxc.xlsx]Cash Flow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4"/>
      </tp>
      <tp>
        <v>1.3961000000000001</v>
        <stp/>
        <stp>##V3_BDHV12</stp>
        <stp>AMZN US Equity</stp>
        <stp>CUR_RATIO</stp>
        <stp>FQ4 2000</stp>
        <stp>FQ4 2000</stp>
        <stp>[FA1_j2ahgkxc.xlsx]Bal Sheet - Standardized!R68C10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8" s="3"/>
      </tp>
      <tp>
        <v>0</v>
        <stp/>
        <stp>##V3_BDHV12</stp>
        <stp>AMZN US Equity</stp>
        <stp>CF_DVD_PAID</stp>
        <stp>FQ4 2008</stp>
        <stp>FQ4 2008</stp>
        <stp>[FA1_j2ahgkxc.xlsx]Cash Flow - Standardized!R31C42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4"/>
      </tp>
      <tp>
        <v>0</v>
        <stp/>
        <stp>##V3_BDHV12</stp>
        <stp>AMZN US Equity</stp>
        <stp>CF_DVD_PAID</stp>
        <stp>FQ2 2005</stp>
        <stp>FQ2 2005</stp>
        <stp>[FA1_j2ahgkxc.xlsx]Cash Flow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4"/>
      </tp>
      <tp>
        <v>0</v>
        <stp/>
        <stp>##V3_BDHV12</stp>
        <stp>AMZN US Equity</stp>
        <stp>CF_DVD_PAID</stp>
        <stp>FQ1 2003</stp>
        <stp>FQ1 2003</stp>
        <stp>[FA1_j2ahgkxc.xlsx]Cash Flow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4"/>
      </tp>
      <tp>
        <v>154</v>
        <stp/>
        <stp>##V3_BDHV12</stp>
        <stp>AMZN US Equity</stp>
        <stp>IS_OPER_INC</stp>
        <stp>FQ3 2008</stp>
        <stp>FQ3 2008</stp>
        <stp>[FA1_j2ahgkxc.xlsx]Income - Adjusted!R12C41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2" s="2"/>
      </tp>
      <tp>
        <v>0</v>
        <stp/>
        <stp>##V3_BDHV12</stp>
        <stp>AMZN US Equity</stp>
        <stp>BS_PFD_EQTY_&amp;_HYBRID_CPTL</stp>
        <stp>FQ4 2004</stp>
        <stp>FQ4 2004</stp>
        <stp>[FA1_j2ahgkxc.xlsx]Bal Sheet - Standardized!R47C26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3"/>
      </tp>
      <tp>
        <v>0</v>
        <stp/>
        <stp>##V3_BDHV12</stp>
        <stp>AMZN US Equity</stp>
        <stp>BS_PFD_EQTY_&amp;_HYBRID_CPTL</stp>
        <stp>FQ4 2003</stp>
        <stp>FQ4 2003</stp>
        <stp>[FA1_j2ahgkxc.xlsx]Bal Sheet - Standardized!R47C22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3"/>
      </tp>
      <tp t="s">
        <v>—</v>
        <stp/>
        <stp>##V3_BDHV12</stp>
        <stp>AMZN US Equity</stp>
        <stp>CF_TAX_BENEFIT_FRM_STOCK_OPTIONS</stp>
        <stp>FQ1 2000</stp>
        <stp>FQ1 2000</stp>
        <stp>[FA1_j2ahgkxc.xlsx]Cash Flow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4"/>
      </tp>
      <tp>
        <v>0</v>
        <stp/>
        <stp>##V3_BDHV12</stp>
        <stp>AMZN US Equity</stp>
        <stp>BS_PFD_EQTY_&amp;_HYBRID_CPTL</stp>
        <stp>FQ2 2008</stp>
        <stp>FQ2 2008</stp>
        <stp>[FA1_j2ahgkxc.xlsx]Bal Sheet - Standardized!R47C40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3"/>
      </tp>
      <tp t="s">
        <v>—</v>
        <stp/>
        <stp>##V3_BDHV12</stp>
        <stp>AMZN US Equity</stp>
        <stp>CF_TAX_BENEFIT_FRM_STOCK_OPTIONS</stp>
        <stp>FQ2 2000</stp>
        <stp>FQ2 2000</stp>
        <stp>[FA1_j2ahgkxc.xlsx]Cash Flow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4"/>
      </tp>
      <tp t="s">
        <v>—</v>
        <stp/>
        <stp>##V3_BDHV12</stp>
        <stp>AMZN US Equity</stp>
        <stp>CF_TAX_BENEFIT_FRM_STOCK_OPTIONS</stp>
        <stp>FQ3 2000</stp>
        <stp>FQ3 2000</stp>
        <stp>[FA1_j2ahgkxc.xlsx]Cash Flow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4"/>
      </tp>
      <tp t="s">
        <v>—</v>
        <stp/>
        <stp>##V3_BDHV12</stp>
        <stp>AMZN US Equity</stp>
        <stp>NET_DEBT_TO_SHRHLDR_EQTY</stp>
        <stp>FQ1 2005</stp>
        <stp>FQ1 2005</stp>
        <stp>[FA1_j2ahgkxc.xlsx]Bal Sheet - Standardized!R66C27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6" s="3"/>
      </tp>
      <tp>
        <v>-83.574200000000005</v>
        <stp/>
        <stp>##V3_BDHV12</stp>
        <stp>AMZN US Equity</stp>
        <stp>NET_DEBT_TO_SHRHLDR_EQTY</stp>
        <stp>FQ3 2007</stp>
        <stp>FQ3 2007</stp>
        <stp>[FA1_j2ahgkxc.xlsx]Bal Sheet - Standardized!R66C37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6" s="3"/>
      </tp>
      <tp>
        <v>-71.454499999999996</v>
        <stp/>
        <stp>##V3_BDHV12</stp>
        <stp>AMZN US Equity</stp>
        <stp>NET_DEBT_TO_SHRHLDR_EQTY</stp>
        <stp>FQ2 2007</stp>
        <stp>FQ2 2007</stp>
        <stp>[FA1_j2ahgkxc.xlsx]Bal Sheet - Standardized!R66C36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6" s="3"/>
      </tp>
      <tp>
        <v>-47.875399999999999</v>
        <stp/>
        <stp>##V3_BDHV12</stp>
        <stp>AMZN US Equity</stp>
        <stp>NET_DEBT_TO_SHRHLDR_EQTY</stp>
        <stp>FQ1 2007</stp>
        <stp>FQ1 2007</stp>
        <stp>[FA1_j2ahgkxc.xlsx]Bal Sheet - Standardized!R66C35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6" s="3"/>
      </tp>
      <tp>
        <v>62.563000000000002</v>
        <stp/>
        <stp>##V3_BDHV12</stp>
        <stp>AMZN US Equity</stp>
        <stp>PX_LAST</stp>
        <stp>FQ2 1999</stp>
        <stp>FQ2 1999</stp>
        <stp>[FA1_j2ahgkxc.xlsx]Stock Value!R6C4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6"/>
      </tp>
      <tp>
        <v>0</v>
        <stp/>
        <stp>##V3_BDHV12</stp>
        <stp>AMZN US Equity</stp>
        <stp>BS_NUM_OF_TSY_SH</stp>
        <stp>FQ4 2000</stp>
        <stp>FQ4 2000</stp>
        <stp>[FA1_j2ahgkxc.xlsx]Bal Sheet - Standardized!R60C10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0" s="3"/>
      </tp>
      <tp>
        <v>0.48</v>
        <stp/>
        <stp>##V3_BDHV12</stp>
        <stp>AMZN US Equity</stp>
        <stp>IS_DIL_EPS_CONT_OPS</stp>
        <stp>FQ4 2007</stp>
        <stp>FQ4 2007</stp>
        <stp>[FA1_j2ahgkxc.xlsx]Per Share!R19C38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9" s="5"/>
      </tp>
      <tp>
        <v>0</v>
        <stp/>
        <stp>##V3_BDHV12</stp>
        <stp>AMZN US Equity</stp>
        <stp>BS_LT_INVEST</stp>
        <stp>FQ1 2005</stp>
        <stp>FQ1 2005</stp>
        <stp>[FA1_j2ahgkxc.xlsx]Bal Sheet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3"/>
      </tp>
      <tp>
        <v>2080.9690000000001</v>
        <stp/>
        <stp>##V3_BDHV12</stp>
        <stp>AMZN US Equity</stp>
        <stp>BS_LT_BORROW</stp>
        <stp>FQ3 2003</stp>
        <stp>FQ3 2003</stp>
        <stp>[FA1_j2ahgkxc.xlsx]Bal Sheet - Standardized!R40C21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0" s="3"/>
      </tp>
      <tp>
        <v>934</v>
        <stp/>
        <stp>##V3_BDHV12</stp>
        <stp>AMZN US Equity</stp>
        <stp>BS_TOT_NON_CUR_ASSET</stp>
        <stp>FQ2 2006</stp>
        <stp>FQ2 2006</stp>
        <stp>[FA1_j2ahgkxc.xlsx]Bal Sheet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3"/>
      </tp>
      <tp>
        <v>24.728999999999999</v>
        <stp/>
        <stp>##V3_BDHV12</stp>
        <stp>AMZN US Equity</stp>
        <stp>BS_LT_INVEST</stp>
        <stp>FQ2 2001</stp>
        <stp>FQ2 2001</stp>
        <stp>[FA1_j2ahgkxc.xlsx]Bal Sheet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3"/>
      </tp>
      <tp>
        <v>1256</v>
        <stp/>
        <stp>##V3_BDHV12</stp>
        <stp>AMZN US Equity</stp>
        <stp>BS_LT_BORROW</stp>
        <stp>FQ2 2007</stp>
        <stp>FQ2 2007</stp>
        <stp>[FA1_j2ahgkxc.xlsx]Bal Sheet - Standardized!R40C36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0" s="3"/>
      </tp>
      <tp>
        <v>1778.722</v>
        <stp/>
        <stp>##V3_BDHV12</stp>
        <stp>AMZN US Equity</stp>
        <stp>BS_LT_BORROW</stp>
        <stp>FQ3 2004</stp>
        <stp>FQ3 2004</stp>
        <stp>[FA1_j2ahgkxc.xlsx]Bal Sheet - Standardized!R40C25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0" s="3"/>
      </tp>
      <tp>
        <v>1125</v>
        <stp/>
        <stp>##V3_BDHV12</stp>
        <stp>AMZN US Equity</stp>
        <stp>BS_TOT_NON_CUR_ASSET</stp>
        <stp>FQ2 2007</stp>
        <stp>FQ2 2007</stp>
        <stp>[FA1_j2ahgkxc.xlsx]Bal Sheet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3"/>
      </tp>
      <tp>
        <v>415.88400000000001</v>
        <stp/>
        <stp>##V3_BDHV12</stp>
        <stp>AMZN US Equity</stp>
        <stp>BS_TOT_NON_CUR_ASSET</stp>
        <stp>FQ3 2004</stp>
        <stp>FQ3 2004</stp>
        <stp>[FA1_j2ahgkxc.xlsx]Bal Sheet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3"/>
      </tp>
      <tp>
        <v>15.288</v>
        <stp/>
        <stp>##V3_BDHV12</stp>
        <stp>AMZN US Equity</stp>
        <stp>BS_LT_INVEST</stp>
        <stp>FQ2 2002</stp>
        <stp>FQ2 2002</stp>
        <stp>[FA1_j2ahgkxc.xlsx]Bal Sheet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3"/>
      </tp>
      <tp t="s">
        <v>—</v>
        <stp/>
        <stp>##V3_BDHV12</stp>
        <stp>AMZN US Equity</stp>
        <stp>BS_LT_INVEST</stp>
        <stp>FQ1 2004</stp>
        <stp>FQ1 2004</stp>
        <stp>[FA1_j2ahgkxc.xlsx]Bal Sheet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3"/>
      </tp>
      <tp>
        <v>339.48500000000001</v>
        <stp/>
        <stp>##V3_BDHV12</stp>
        <stp>AMZN US Equity</stp>
        <stp>BS_TOT_NON_CUR_ASSET</stp>
        <stp>FQ3 2003</stp>
        <stp>FQ3 2003</stp>
        <stp>[FA1_j2ahgkxc.xlsx]Bal Sheet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3"/>
      </tp>
      <tp>
        <v>1324</v>
        <stp/>
        <stp>##V3_BDHV12</stp>
        <stp>AMZN US Equity</stp>
        <stp>BS_LT_BORROW</stp>
        <stp>FQ2 2006</stp>
        <stp>FQ2 2006</stp>
        <stp>[FA1_j2ahgkxc.xlsx]Bal Sheet - Standardized!R40C32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0" s="3"/>
      </tp>
      <tp>
        <v>711</v>
        <stp/>
        <stp>##V3_BDHV12</stp>
        <stp>AMZN US Equity</stp>
        <stp>BS_TOT_NON_CUR_ASSET</stp>
        <stp>FQ3 2005</stp>
        <stp>FQ3 2005</stp>
        <stp>[FA1_j2ahgkxc.xlsx]Bal Sheet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3"/>
      </tp>
      <tp>
        <v>1513</v>
        <stp/>
        <stp>##V3_BDHV12</stp>
        <stp>AMZN US Equity</stp>
        <stp>BS_LT_BORROW</stp>
        <stp>FQ3 2005</stp>
        <stp>FQ3 2005</stp>
        <stp>[FA1_j2ahgkxc.xlsx]Bal Sheet - Standardized!R40C29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0" s="3"/>
      </tp>
      <tp>
        <v>137.756</v>
        <stp/>
        <stp>##V3_BDHV12</stp>
        <stp>AMZN US Equity</stp>
        <stp>EBIT</stp>
        <stp>FQ4 2003</stp>
        <stp>FQ4 2003</stp>
        <stp>[FA1_j2ahgkxc.xlsx]Income - Adjusted!R49C22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9" s="2"/>
      </tp>
      <tp>
        <v>116</v>
        <stp/>
        <stp>##V3_BDHV12</stp>
        <stp>AMZN US Equity</stp>
        <stp>EBIT</stp>
        <stp>FQ2 2007</stp>
        <stp>FQ2 2007</stp>
        <stp>[FA1_j2ahgkxc.xlsx]Income - Adjusted!R49C36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9" s="2"/>
      </tp>
      <tp>
        <v>81.274000000000001</v>
        <stp/>
        <stp>##V3_BDHV12</stp>
        <stp>AMZN US Equity</stp>
        <stp>EBIT</stp>
        <stp>FQ3 2004</stp>
        <stp>FQ3 2004</stp>
        <stp>[FA1_j2ahgkxc.xlsx]Income - Adjusted!R49C25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9" s="2"/>
      </tp>
      <tp>
        <v>198</v>
        <stp/>
        <stp>##V3_BDHV12</stp>
        <stp>AMZN US Equity</stp>
        <stp>EBIT</stp>
        <stp>FQ1 2008</stp>
        <stp>FQ1 2008</stp>
        <stp>[FA1_j2ahgkxc.xlsx]Income - Adjusted!R49C39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9" s="2"/>
      </tp>
      <tp>
        <v>0</v>
        <stp/>
        <stp>##V3_BDHV12</stp>
        <stp>AMZN US Equity</stp>
        <stp>INVTRY_RAW_MATERIALS</stp>
        <stp>FQ4 2005</stp>
        <stp>FQ4 2005</stp>
        <stp>[FA1_j2ahgkxc.xlsx]Bal Sheet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3"/>
      </tp>
      <tp>
        <v>0</v>
        <stp/>
        <stp>##V3_BDHV12</stp>
        <stp>AMZN US Equity</stp>
        <stp>INVTRY_RAW_MATERIALS</stp>
        <stp>FQ4 2006</stp>
        <stp>FQ4 2006</stp>
        <stp>[FA1_j2ahgkxc.xlsx]Bal Sheet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3"/>
      </tp>
      <tp>
        <v>0.05</v>
        <stp/>
        <stp>##V3_BDHV12</stp>
        <stp>AMZN US Equity</stp>
        <stp>IS_EARN_BEF_XO_ITEMS_PER_SH</stp>
        <stp>FQ2 2006</stp>
        <stp>FQ2 2006</stp>
        <stp>[FA1_j2ahgkxc.xlsx]Income - Adjusted!R36C32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6" s="2"/>
      </tp>
      <tp>
        <v>-0.25</v>
        <stp/>
        <stp>##V3_BDHV12</stp>
        <stp>AMZN US Equity</stp>
        <stp>IS_EARN_BEF_XO_ITEMS_PER_SH</stp>
        <stp>FQ2 2002</stp>
        <stp>FQ2 2002</stp>
        <stp>[FA1_j2ahgkxc.xlsx]Income - Adjusted!R36C16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6" s="2"/>
      </tp>
      <tp>
        <v>0</v>
        <stp/>
        <stp>##V3_BDHV12</stp>
        <stp>AMZN US Equity</stp>
        <stp>IS_FOREIGN_EXCH_LOSS</stp>
        <stp>FQ4 2001</stp>
        <stp>FQ4 2001</stp>
        <stp>[FA1_j2ahgkxc.xlsx]Income - Adjusted!R16C14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6" s="2"/>
      </tp>
      <tp t="s">
        <v>—</v>
        <stp/>
        <stp>##V3_BDHV12</stp>
        <stp>AMZN US Equity</stp>
        <stp>IS_FOREIGN_EXCH_LOSS</stp>
        <stp>FQ4 2005</stp>
        <stp>FQ4 2005</stp>
        <stp>[FA1_j2ahgkxc.xlsx]Income - Adjusted!R16C30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6" s="2"/>
      </tp>
      <tp>
        <v>0</v>
        <stp/>
        <stp>##V3_BDHV12</stp>
        <stp>AMZN US Equity</stp>
        <stp>IS_FOREIGN_EXCH_LOSS</stp>
        <stp>FQ3 2006</stp>
        <stp>FQ3 2006</stp>
        <stp>[FA1_j2ahgkxc.xlsx]Income - Adjusted!R16C33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6" s="2"/>
      </tp>
      <tp>
        <v>0</v>
        <stp/>
        <stp>##V3_BDHV12</stp>
        <stp>AMZN US Equity</stp>
        <stp>IS_FOREIGN_EXCH_LOSS</stp>
        <stp>FQ3 2002</stp>
        <stp>FQ3 2002</stp>
        <stp>[FA1_j2ahgkxc.xlsx]Income - Adjusted!R16C17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6" s="2"/>
      </tp>
      <tp>
        <v>0</v>
        <stp/>
        <stp>##V3_BDHV12</stp>
        <stp>AMZN US Equity</stp>
        <stp>INVTRY_RAW_MATERIALS</stp>
        <stp>FQ3 2008</stp>
        <stp>FQ3 2008</stp>
        <stp>[FA1_j2ahgkxc.xlsx]Bal Sheet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3"/>
      </tp>
      <tp t="s">
        <v>—</v>
        <stp/>
        <stp>##V3_BDHV12</stp>
        <stp>AMZN US Equity</stp>
        <stp>INVTRY_RAW_MATERIALS</stp>
        <stp>FQ4 2007</stp>
        <stp>FQ4 2007</stp>
        <stp>[FA1_j2ahgkxc.xlsx]Bal Sheet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3"/>
      </tp>
      <tp>
        <v>0</v>
        <stp/>
        <stp>##V3_BDHV12</stp>
        <stp>AMZN US Equity</stp>
        <stp>CF_DVD_PAID</stp>
        <stp>FQ2 2002</stp>
        <stp>FQ2 2002</stp>
        <stp>[FA1_j2ahgkxc.xlsx]Cash Flow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4"/>
      </tp>
      <tp>
        <v>0</v>
        <stp/>
        <stp>##V3_BDHV12</stp>
        <stp>AMZN US Equity</stp>
        <stp>CF_DVD_PAID</stp>
        <stp>FQ1 2004</stp>
        <stp>FQ1 2004</stp>
        <stp>[FA1_j2ahgkxc.xlsx]Cash Flow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4"/>
      </tp>
      <tp>
        <v>0</v>
        <stp/>
        <stp>##V3_BDHV12</stp>
        <stp>AMZN US Equity</stp>
        <stp>CF_DVD_PAID</stp>
        <stp>FQ1 2005</stp>
        <stp>FQ1 2005</stp>
        <stp>[FA1_j2ahgkxc.xlsx]Cash Flow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4"/>
      </tp>
      <tp>
        <v>0.37</v>
        <stp/>
        <stp>##V3_BDHV12</stp>
        <stp>AMZN US Equity</stp>
        <stp>IS_DIL_EPS_BEF_XO</stp>
        <stp>FQ2 2008</stp>
        <stp>FQ2 2008</stp>
        <stp>[FA1_j2ahgkxc.xlsx]Income - Adjusted!R41C40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1" s="2"/>
      </tp>
      <tp>
        <v>0</v>
        <stp/>
        <stp>##V3_BDHV12</stp>
        <stp>AMZN US Equity</stp>
        <stp>CF_DVD_PAID</stp>
        <stp>FQ2 2001</stp>
        <stp>FQ2 2001</stp>
        <stp>[FA1_j2ahgkxc.xlsx]Cash Flow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4"/>
      </tp>
      <tp>
        <v>217</v>
        <stp/>
        <stp>##V3_BDHV12</stp>
        <stp>AMZN US Equity</stp>
        <stp>IS_OPER_INC</stp>
        <stp>FQ2 2008</stp>
        <stp>FQ2 2008</stp>
        <stp>[FA1_j2ahgkxc.xlsx]Income - Adjusted!R12C40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2" s="2"/>
      </tp>
      <tp t="s">
        <v>—</v>
        <stp/>
        <stp>##V3_BDHV12</stp>
        <stp>AMZN US Equity</stp>
        <stp>CF_NET_CASH_PAID_FOR_AQUIS</stp>
        <stp>FQ1 1999</stp>
        <stp>FQ1 1999</stp>
        <stp>[FA1_j2ahgkxc.xlsx]Cash Flow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4"/>
      </tp>
      <tp t="s">
        <v>—</v>
        <stp/>
        <stp>##V3_BDHV12</stp>
        <stp>AMZN US Equity</stp>
        <stp>CF_NET_CASH_PAID_FOR_AQUIS</stp>
        <stp>FQ4 1999</stp>
        <stp>FQ4 1999</stp>
        <stp>[FA1_j2ahgkxc.xlsx]Cash Flow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4"/>
      </tp>
      <tp t="s">
        <v>—</v>
        <stp/>
        <stp>##V3_BDHV12</stp>
        <stp>AMZN US Equity</stp>
        <stp>CF_NET_CASH_PAID_FOR_AQUIS</stp>
        <stp>FQ2 1999</stp>
        <stp>FQ2 1999</stp>
        <stp>[FA1_j2ahgkxc.xlsx]Cash Flow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4"/>
      </tp>
      <tp t="s">
        <v>—</v>
        <stp/>
        <stp>##V3_BDHV12</stp>
        <stp>AMZN US Equity</stp>
        <stp>CF_NET_CASH_PAID_FOR_AQUIS</stp>
        <stp>FQ3 1999</stp>
        <stp>FQ3 1999</stp>
        <stp>[FA1_j2ahgkxc.xlsx]Cash Flow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4"/>
      </tp>
      <tp>
        <v>345.15499999999997</v>
        <stp/>
        <stp>##V3_BDHV12</stp>
        <stp>AMZN US Equity</stp>
        <stp>BS_SH_OUT</stp>
        <stp>FQ4 1999</stp>
        <stp>FQ4 1999</stp>
        <stp>[FA1_j2ahgkxc.xlsx]Per Share!R6C7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5"/>
      </tp>
      <tp>
        <v>0</v>
        <stp/>
        <stp>##V3_BDHV12</stp>
        <stp>AMZN US Equity</stp>
        <stp>BS_PFD_EQTY_&amp;_HYBRID_CPTL</stp>
        <stp>FQ4 2006</stp>
        <stp>FQ4 2006</stp>
        <stp>[FA1_j2ahgkxc.xlsx]Bal Sheet - Standardized!R47C34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3"/>
      </tp>
      <tp>
        <v>0</v>
        <stp/>
        <stp>##V3_BDHV12</stp>
        <stp>AMZN US Equity</stp>
        <stp>BS_PFD_EQTY_&amp;_HYBRID_CPTL</stp>
        <stp>FQ4 2005</stp>
        <stp>FQ4 2005</stp>
        <stp>[FA1_j2ahgkxc.xlsx]Bal Sheet - Standardized!R47C30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3"/>
      </tp>
      <tp>
        <v>0</v>
        <stp/>
        <stp>##V3_BDHV12</stp>
        <stp>AMZN US Equity</stp>
        <stp>BS_PFD_EQTY_&amp;_HYBRID_CPTL</stp>
        <stp>FQ4 2007</stp>
        <stp>FQ4 2007</stp>
        <stp>[FA1_j2ahgkxc.xlsx]Bal Sheet - Standardized!R47C38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3"/>
      </tp>
      <tp>
        <v>0</v>
        <stp/>
        <stp>##V3_BDHV12</stp>
        <stp>AMZN US Equity</stp>
        <stp>BS_PFD_EQTY_&amp;_HYBRID_CPTL</stp>
        <stp>FQ3 2008</stp>
        <stp>FQ3 2008</stp>
        <stp>[FA1_j2ahgkxc.xlsx]Bal Sheet - Standardized!R47C41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3"/>
      </tp>
      <tp t="s">
        <v>—</v>
        <stp/>
        <stp>##V3_BDHV12</stp>
        <stp>AMZN US Equity</stp>
        <stp>NET_DEBT_TO_SHRHLDR_EQTY</stp>
        <stp>FQ2 2004</stp>
        <stp>FQ2 2004</stp>
        <stp>[FA1_j2ahgkxc.xlsx]Bal Sheet - Standardized!R66C24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6" s="3"/>
      </tp>
      <tp t="s">
        <v>—</v>
        <stp/>
        <stp>##V3_BDHV12</stp>
        <stp>AMZN US Equity</stp>
        <stp>NET_DEBT_TO_SHRHLDR_EQTY</stp>
        <stp>FQ3 2004</stp>
        <stp>FQ3 2004</stp>
        <stp>[FA1_j2ahgkxc.xlsx]Bal Sheet - Standardized!R66C25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6" s="3"/>
      </tp>
      <tp>
        <v>91.5</v>
        <stp/>
        <stp>##V3_BDHV12</stp>
        <stp>AMZN US Equity</stp>
        <stp>PX_HIGH</stp>
        <stp>FQ1 2000</stp>
        <stp>FQ1 2000</stp>
        <stp>[FA1_j2ahgkxc.xlsx]Stock Value!R9C7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" s="6"/>
      </tp>
      <tp>
        <v>-308.42500000000001</v>
        <stp/>
        <stp>##V3_BDHV12</stp>
        <stp>AMZN US Equity</stp>
        <stp>IS_INC_BEF_XO_ITEM</stp>
        <stp>FQ1 2000</stp>
        <stp>FQ1 2000</stp>
        <stp>[FA1_j2ahgkxc.xlsx]Income - Adjusted!R22C8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2"/>
      </tp>
      <tp>
        <v>79.938000000000002</v>
        <stp/>
        <stp>##V3_BDHV12</stp>
        <stp>AMZN US Equity</stp>
        <stp>PX_LAST</stp>
        <stp>FQ3 1999</stp>
        <stp>FQ3 1999</stp>
        <stp>[FA1_j2ahgkxc.xlsx]Stock Value!R6C5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6"/>
      </tp>
      <tp>
        <v>0</v>
        <stp/>
        <stp>##V3_BDHV12</stp>
        <stp>AMZN US Equity</stp>
        <stp>BS_NUM_OF_TSY_SH</stp>
        <stp>FQ4 2003</stp>
        <stp>FQ4 2003</stp>
        <stp>[FA1_j2ahgkxc.xlsx]Bal Sheet - Standardized!R60C22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0" s="3"/>
      </tp>
      <tp>
        <v>-61.667000000000002</v>
        <stp/>
        <stp>##V3_BDHV12</stp>
        <stp>AMZN US Equity</stp>
        <stp>IS_INC_BEF_XO_ITEM</stp>
        <stp>FQ1 1999</stp>
        <stp>FQ1 1999</stp>
        <stp>[FA1_j2ahgkxc.xlsx]Income - Adjusted!R22C4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2"/>
      </tp>
      <tp>
        <v>-0.96</v>
        <stp/>
        <stp>##V3_BDHV12</stp>
        <stp>AMZN US Equity</stp>
        <stp>IS_EARN_BEF_XO_ITEMS_PER_SH</stp>
        <stp>FQ4 1999</stp>
        <stp>FQ4 1999</stp>
        <stp>[FA1_j2ahgkxc.xlsx]Income - Adjusted!R36C7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6" s="2"/>
      </tp>
      <tp>
        <v>0</v>
        <stp/>
        <stp>##V3_BDHV12</stp>
        <stp>AMZN US Equity</stp>
        <stp>BS_LT_INVEST</stp>
        <stp>FQ1 2007</stp>
        <stp>FQ1 2007</stp>
        <stp>[FA1_j2ahgkxc.xlsx]Bal Sheet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3"/>
      </tp>
      <tp>
        <v>2118.8560000000002</v>
        <stp/>
        <stp>##V3_BDHV12</stp>
        <stp>AMZN US Equity</stp>
        <stp>BS_LT_BORROW</stp>
        <stp>FQ1 2001</stp>
        <stp>FQ1 2001</stp>
        <stp>[FA1_j2ahgkxc.xlsx]Bal Sheet - Standardized!R40C11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0" s="3"/>
      </tp>
      <tp>
        <v>2074.3058999999998</v>
        <stp/>
        <stp>##V3_BDHV12</stp>
        <stp>AMZN US Equity</stp>
        <stp>BS_LT_BORROW</stp>
        <stp>FQ2 2003</stp>
        <stp>FQ2 2003</stp>
        <stp>[FA1_j2ahgkxc.xlsx]Bal Sheet - Standardized!R40C20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0" s="3"/>
      </tp>
      <tp>
        <v>407.65499999999997</v>
        <stp/>
        <stp>##V3_BDHV12</stp>
        <stp>AMZN US Equity</stp>
        <stp>BS_TOT_NON_CUR_ASSET</stp>
        <stp>FQ1 2002</stp>
        <stp>FQ1 2002</stp>
        <stp>[FA1_j2ahgkxc.xlsx]Bal Sheet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3"/>
      </tp>
      <tp>
        <v>953</v>
        <stp/>
        <stp>##V3_BDHV12</stp>
        <stp>AMZN US Equity</stp>
        <stp>BS_TOT_NON_CUR_ASSET</stp>
        <stp>FQ3 2006</stp>
        <stp>FQ3 2006</stp>
        <stp>[FA1_j2ahgkxc.xlsx]Bal Sheet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3"/>
      </tp>
      <tp>
        <v>25.347000000000001</v>
        <stp/>
        <stp>##V3_BDHV12</stp>
        <stp>AMZN US Equity</stp>
        <stp>BS_LT_INVEST</stp>
        <stp>FQ3 2001</stp>
        <stp>FQ3 2001</stp>
        <stp>[FA1_j2ahgkxc.xlsx]Bal Sheet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3"/>
      </tp>
      <tp>
        <v>1273</v>
        <stp/>
        <stp>##V3_BDHV12</stp>
        <stp>AMZN US Equity</stp>
        <stp>BS_LT_BORROW</stp>
        <stp>FQ3 2007</stp>
        <stp>FQ3 2007</stp>
        <stp>[FA1_j2ahgkxc.xlsx]Bal Sheet - Standardized!R40C37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0" s="3"/>
      </tp>
      <tp>
        <v>0</v>
        <stp/>
        <stp>##V3_BDHV12</stp>
        <stp>AMZN US Equity</stp>
        <stp>CF_DVD_PAID</stp>
        <stp>FQ3 2000</stp>
        <stp>FQ3 2000</stp>
        <stp>[FA1_j2ahgkxc.xlsx]Cash Flow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0</v>
        <stp/>
        <stp>##V3_BDHV12</stp>
        <stp>AMZN US Equity</stp>
        <stp>CF_DVD_PAID</stp>
        <stp>FQ2 2000</stp>
        <stp>FQ2 2000</stp>
        <stp>[FA1_j2ahgkxc.xlsx]Cash Flow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4"/>
      </tp>
      <tp>
        <v>0</v>
        <stp/>
        <stp>##V3_BDHV12</stp>
        <stp>AMZN US Equity</stp>
        <stp>BS_LT_INVEST</stp>
        <stp>FQ1 2008</stp>
        <stp>FQ1 2008</stp>
        <stp>[FA1_j2ahgkxc.xlsx]Bal Sheet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3"/>
      </tp>
      <tp>
        <v>1762.614</v>
        <stp/>
        <stp>##V3_BDHV12</stp>
        <stp>AMZN US Equity</stp>
        <stp>BS_LT_BORROW</stp>
        <stp>FQ2 2004</stp>
        <stp>FQ2 2004</stp>
        <stp>[FA1_j2ahgkxc.xlsx]Bal Sheet - Standardized!R40C24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0" s="3"/>
      </tp>
      <tp>
        <v>1194</v>
        <stp/>
        <stp>##V3_BDHV12</stp>
        <stp>AMZN US Equity</stp>
        <stp>BS_TOT_NON_CUR_ASSET</stp>
        <stp>FQ3 2007</stp>
        <stp>FQ3 2007</stp>
        <stp>[FA1_j2ahgkxc.xlsx]Bal Sheet - Standardized!R28C37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3"/>
      </tp>
      <tp>
        <v>326.91800000000001</v>
        <stp/>
        <stp>##V3_BDHV12</stp>
        <stp>AMZN US Equity</stp>
        <stp>BS_TOT_NON_CUR_ASSET</stp>
        <stp>FQ2 2004</stp>
        <stp>FQ2 2004</stp>
        <stp>[FA1_j2ahgkxc.xlsx]Bal Sheet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3"/>
      </tp>
      <tp>
        <v>15.362</v>
        <stp/>
        <stp>##V3_BDHV12</stp>
        <stp>AMZN US Equity</stp>
        <stp>BS_LT_INVEST</stp>
        <stp>FQ3 2002</stp>
        <stp>FQ3 2002</stp>
        <stp>[FA1_j2ahgkxc.xlsx]Bal Sheet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3"/>
      </tp>
      <tp>
        <v>0</v>
        <stp/>
        <stp>##V3_BDHV12</stp>
        <stp>AMZN US Equity</stp>
        <stp>BS_LT_INVEST</stp>
        <stp>FQ1 2006</stp>
        <stp>FQ1 2006</stp>
        <stp>[FA1_j2ahgkxc.xlsx]Bal Sheet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3"/>
      </tp>
      <tp>
        <v>345.6</v>
        <stp/>
        <stp>##V3_BDHV12</stp>
        <stp>AMZN US Equity</stp>
        <stp>BS_TOT_NON_CUR_ASSET</stp>
        <stp>FQ2 2003</stp>
        <stp>FQ2 2003</stp>
        <stp>[FA1_j2ahgkxc.xlsx]Bal Sheet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3"/>
      </tp>
      <tp>
        <v>614.44500000000005</v>
        <stp/>
        <stp>##V3_BDHV12</stp>
        <stp>AMZN US Equity</stp>
        <stp>BS_TOT_NON_CUR_ASSET</stp>
        <stp>FQ1 2001</stp>
        <stp>FQ1 2001</stp>
        <stp>[FA1_j2ahgkxc.xlsx]Bal Sheet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3"/>
      </tp>
      <tp>
        <v>1304</v>
        <stp/>
        <stp>##V3_BDHV12</stp>
        <stp>AMZN US Equity</stp>
        <stp>BS_LT_BORROW</stp>
        <stp>FQ3 2006</stp>
        <stp>FQ3 2006</stp>
        <stp>[FA1_j2ahgkxc.xlsx]Bal Sheet - Standardized!R40C33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0" s="3"/>
      </tp>
      <tp>
        <v>2152.2728999999999</v>
        <stp/>
        <stp>##V3_BDHV12</stp>
        <stp>AMZN US Equity</stp>
        <stp>BS_LT_BORROW</stp>
        <stp>FQ1 2002</stp>
        <stp>FQ1 2002</stp>
        <stp>[FA1_j2ahgkxc.xlsx]Bal Sheet - Standardized!R40C15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0" s="3"/>
      </tp>
      <tp>
        <v>675</v>
        <stp/>
        <stp>##V3_BDHV12</stp>
        <stp>AMZN US Equity</stp>
        <stp>BS_TOT_NON_CUR_ASSET</stp>
        <stp>FQ2 2005</stp>
        <stp>FQ2 2005</stp>
        <stp>[FA1_j2ahgkxc.xlsx]Bal Sheet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3"/>
      </tp>
      <tp>
        <v>2157</v>
        <stp/>
        <stp>##V3_BDHV12</stp>
        <stp>AMZN US Equity</stp>
        <stp>BS_TOT_NON_CUR_ASSET</stp>
        <stp>FQ4 2008</stp>
        <stp>FQ4 2008</stp>
        <stp>[FA1_j2ahgkxc.xlsx]Bal Sheet - Standardized!R28C42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3"/>
      </tp>
      <tp>
        <v>2296.4180000000001</v>
        <stp/>
        <stp>##V3_BDHV12</stp>
        <stp>AMZN US Equity</stp>
        <stp>BS_LT_BORROW</stp>
        <stp>FQ1 2003</stp>
        <stp>FQ1 2003</stp>
        <stp>[FA1_j2ahgkxc.xlsx]Bal Sheet - Standardized!R40C19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0" s="3"/>
      </tp>
      <tp>
        <v>361.43700000000001</v>
        <stp/>
        <stp>##V3_BDHV12</stp>
        <stp>AMZN US Equity</stp>
        <stp>BS_TOT_NON_CUR_ASSET</stp>
        <stp>FQ1 2003</stp>
        <stp>FQ1 2003</stp>
        <stp>[FA1_j2ahgkxc.xlsx]Bal Sheet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3"/>
      </tp>
      <tp>
        <v>1521</v>
        <stp/>
        <stp>##V3_BDHV12</stp>
        <stp>AMZN US Equity</stp>
        <stp>BS_LT_BORROW</stp>
        <stp>FQ2 2005</stp>
        <stp>FQ2 2005</stp>
        <stp>[FA1_j2ahgkxc.xlsx]Bal Sheet - Standardized!R40C28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0" s="3"/>
      </tp>
      <tp>
        <v>0</v>
        <stp/>
        <stp>##V3_BDHV12</stp>
        <stp>AMZN US Equity</stp>
        <stp>CF_DVD_PAID</stp>
        <stp>FQ1 2000</stp>
        <stp>FQ1 2000</stp>
        <stp>[FA1_j2ahgkxc.xlsx]Cash Flow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-138.04400000000001</v>
        <stp/>
        <stp>##V3_BDHV12</stp>
        <stp>AMZN US Equity</stp>
        <stp>EBIT</stp>
        <stp>FQ4 2000</stp>
        <stp>FQ4 2000</stp>
        <stp>[FA1_j2ahgkxc.xlsx]Income - Adjusted!R49C10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9" s="2"/>
      </tp>
      <tp>
        <v>79.123999999999995</v>
        <stp/>
        <stp>##V3_BDHV12</stp>
        <stp>AMZN US Equity</stp>
        <stp>EBIT</stp>
        <stp>FQ2 2004</stp>
        <stp>FQ2 2004</stp>
        <stp>[FA1_j2ahgkxc.xlsx]Income - Adjusted!R49C24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9" s="2"/>
      </tp>
      <tp>
        <v>123</v>
        <stp/>
        <stp>##V3_BDHV12</stp>
        <stp>AMZN US Equity</stp>
        <stp>EBIT</stp>
        <stp>FQ3 2007</stp>
        <stp>FQ3 2007</stp>
        <stp>[FA1_j2ahgkxc.xlsx]Income - Adjusted!R49C37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9" s="2"/>
      </tp>
      <tp>
        <v>-102.348</v>
        <stp/>
        <stp>##V3_BDHV12</stp>
        <stp>AMZN US Equity</stp>
        <stp>EBIT</stp>
        <stp>FQ1 2001</stp>
        <stp>FQ1 2001</stp>
        <stp>[FA1_j2ahgkxc.xlsx]Income - Adjusted!R49C11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9" s="2"/>
      </tp>
      <tp>
        <v>533</v>
        <stp/>
        <stp>##V3_BDHV12</stp>
        <stp>AMZN US Equity</stp>
        <stp>BS_LT_BORROW</stp>
        <stp>FQ4 2008</stp>
        <stp>FQ4 2008</stp>
        <stp>[FA1_j2ahgkxc.xlsx]Bal Sheet - Standardized!R40C42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0" s="3"/>
      </tp>
      <tp>
        <v>0</v>
        <stp/>
        <stp>##V3_BDHV12</stp>
        <stp>AMZN US Equity</stp>
        <stp>INVTRY_RAW_MATERIALS</stp>
        <stp>FQ4 2004</stp>
        <stp>FQ4 2004</stp>
        <stp>[FA1_j2ahgkxc.xlsx]Bal Sheet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3"/>
      </tp>
      <tp>
        <v>0.05</v>
        <stp/>
        <stp>##V3_BDHV12</stp>
        <stp>AMZN US Equity</stp>
        <stp>IS_EARN_BEF_XO_ITEMS_PER_SH</stp>
        <stp>FQ3 2006</stp>
        <stp>FQ3 2006</stp>
        <stp>[FA1_j2ahgkxc.xlsx]Income - Adjusted!R36C33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6" s="2"/>
      </tp>
      <tp>
        <v>-0.09</v>
        <stp/>
        <stp>##V3_BDHV12</stp>
        <stp>AMZN US Equity</stp>
        <stp>IS_EARN_BEF_XO_ITEMS_PER_SH</stp>
        <stp>FQ3 2002</stp>
        <stp>FQ3 2002</stp>
        <stp>[FA1_j2ahgkxc.xlsx]Income - Adjusted!R36C17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6" s="2"/>
      </tp>
      <tp>
        <v>0.01</v>
        <stp/>
        <stp>##V3_BDHV12</stp>
        <stp>AMZN US Equity</stp>
        <stp>IS_EARN_BEF_XO_ITEMS_PER_SH</stp>
        <stp>FQ4 2001</stp>
        <stp>FQ4 2001</stp>
        <stp>[FA1_j2ahgkxc.xlsx]Income - Adjusted!R36C14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6" s="2"/>
      </tp>
      <tp>
        <v>0.48</v>
        <stp/>
        <stp>##V3_BDHV12</stp>
        <stp>AMZN US Equity</stp>
        <stp>IS_EARN_BEF_XO_ITEMS_PER_SH</stp>
        <stp>FQ4 2005</stp>
        <stp>FQ4 2005</stp>
        <stp>[FA1_j2ahgkxc.xlsx]Income - Adjusted!R36C30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6" s="2"/>
      </tp>
      <tp>
        <v>0</v>
        <stp/>
        <stp>##V3_BDHV12</stp>
        <stp>AMZN US Equity</stp>
        <stp>IS_FOREIGN_EXCH_LOSS</stp>
        <stp>FQ2 2006</stp>
        <stp>FQ2 2006</stp>
        <stp>[FA1_j2ahgkxc.xlsx]Income - Adjusted!R16C32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6" s="2"/>
      </tp>
      <tp>
        <v>0</v>
        <stp/>
        <stp>##V3_BDHV12</stp>
        <stp>AMZN US Equity</stp>
        <stp>IS_FOREIGN_EXCH_LOSS</stp>
        <stp>FQ2 2002</stp>
        <stp>FQ2 2002</stp>
        <stp>[FA1_j2ahgkxc.xlsx]Income - Adjusted!R16C16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6" s="2"/>
      </tp>
      <tp>
        <v>0</v>
        <stp/>
        <stp>##V3_BDHV12</stp>
        <stp>AMZN US Equity</stp>
        <stp>INVTRY_RAW_MATERIALS</stp>
        <stp>FQ4 2003</stp>
        <stp>FQ4 2003</stp>
        <stp>[FA1_j2ahgkxc.xlsx]Bal Sheet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3"/>
      </tp>
      <tp>
        <v>0</v>
        <stp/>
        <stp>##V3_BDHV12</stp>
        <stp>AMZN US Equity</stp>
        <stp>INVTRY_RAW_MATERIALS</stp>
        <stp>FQ2 2008</stp>
        <stp>FQ2 2008</stp>
        <stp>[FA1_j2ahgkxc.xlsx]Bal Sheet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3"/>
      </tp>
      <tp t="s">
        <v>—</v>
        <stp/>
        <stp>##V3_BDHV12</stp>
        <stp>AMZN US Equity</stp>
        <stp>IS_IMPAIRMENT_GOODWILL_INTANGIBL</stp>
        <stp>FQ4 1999</stp>
        <stp>FQ4 1999</stp>
        <stp>[FA1_j2ahgkxc.xlsx]Income - Adjusted!R19C7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2"/>
      </tp>
      <tp t="s">
        <v>—</v>
        <stp/>
        <stp>##V3_BDHV12</stp>
        <stp>AMZN US Equity</stp>
        <stp>IS_IMPAIRMENT_GOODWILL_INTANGIBL</stp>
        <stp>FQ4 1998</stp>
        <stp>FQ4 1998</stp>
        <stp>[FA1_j2ahgkxc.xlsx]Income - Adjusted!R19C3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2"/>
      </tp>
      <tp>
        <v>0</v>
        <stp/>
        <stp>##V3_BDHV12</stp>
        <stp>AMZN US Equity</stp>
        <stp>CF_DVD_PAID</stp>
        <stp>FQ3 2002</stp>
        <stp>FQ3 2002</stp>
        <stp>[FA1_j2ahgkxc.xlsx]Cash Flow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4"/>
      </tp>
      <tp>
        <v>0</v>
        <stp/>
        <stp>##V3_BDHV12</stp>
        <stp>AMZN US Equity</stp>
        <stp>CF_DVD_PAID</stp>
        <stp>FQ1 2006</stp>
        <stp>FQ1 2006</stp>
        <stp>[FA1_j2ahgkxc.xlsx]Cash Flow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4"/>
      </tp>
      <tp>
        <v>1.3321000000000001</v>
        <stp/>
        <stp>##V3_BDHV12</stp>
        <stp>AMZN US Equity</stp>
        <stp>CUR_RATIO</stp>
        <stp>FQ4 2006</stp>
        <stp>FQ4 2006</stp>
        <stp>[FA1_j2ahgkxc.xlsx]Bal Sheet - Standardized!R68C34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8" s="3"/>
      </tp>
      <tp>
        <v>1.5302</v>
        <stp/>
        <stp>##V3_BDHV12</stp>
        <stp>AMZN US Equity</stp>
        <stp>CUR_RATIO</stp>
        <stp>FQ2 2006</stp>
        <stp>FQ2 2006</stp>
        <stp>[FA1_j2ahgkxc.xlsx]Bal Sheet - Standardized!R68C32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8" s="3"/>
      </tp>
      <tp>
        <v>1.3094000000000001</v>
        <stp/>
        <stp>##V3_BDHV12</stp>
        <stp>AMZN US Equity</stp>
        <stp>CUR_RATIO</stp>
        <stp>FQ3 2006</stp>
        <stp>FQ3 2006</stp>
        <stp>[FA1_j2ahgkxc.xlsx]Bal Sheet - Standardized!R68C33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8" s="3"/>
      </tp>
      <tp>
        <v>1.5537000000000001</v>
        <stp/>
        <stp>##V3_BDHV12</stp>
        <stp>AMZN US Equity</stp>
        <stp>CUR_RATIO</stp>
        <stp>FQ1 2006</stp>
        <stp>FQ1 2006</stp>
        <stp>[FA1_j2ahgkxc.xlsx]Bal Sheet - Standardized!R68C31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8" s="3"/>
      </tp>
      <tp t="s">
        <v>—</v>
        <stp/>
        <stp>##V3_BDHV12</stp>
        <stp>AMZN US Equity</stp>
        <stp>LONG_TERM_BORROWINGS_DETAILED</stp>
        <stp>FQ4 1999</stp>
        <stp>FQ4 1999</stp>
        <stp>[FA1_j2ahgkxc.xlsx]Bal Sheet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3"/>
      </tp>
      <tp>
        <v>1.5670999999999999</v>
        <stp/>
        <stp>##V3_BDHV12</stp>
        <stp>AMZN US Equity</stp>
        <stp>CUR_RATIO</stp>
        <stp>FQ4 2004</stp>
        <stp>FQ4 2004</stp>
        <stp>[FA1_j2ahgkxc.xlsx]Bal Sheet - Standardized!R68C26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8" s="3"/>
      </tp>
      <tp>
        <v>1.6232</v>
        <stp/>
        <stp>##V3_BDHV12</stp>
        <stp>AMZN US Equity</stp>
        <stp>CUR_RATIO</stp>
        <stp>FQ1 2004</stp>
        <stp>FQ1 2004</stp>
        <stp>[FA1_j2ahgkxc.xlsx]Bal Sheet - Standardized!R68C23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8" s="3"/>
      </tp>
      <tp t="s">
        <v>—</v>
        <stp/>
        <stp>##V3_BDHV12</stp>
        <stp>AMZN US Equity</stp>
        <stp>LONG_TERM_BORROWINGS_DETAILED</stp>
        <stp>FQ3 1999</stp>
        <stp>FQ3 1999</stp>
        <stp>[FA1_j2ahgkxc.xlsx]Bal Sheet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3"/>
      </tp>
      <tp t="s">
        <v>—</v>
        <stp/>
        <stp>##V3_BDHV12</stp>
        <stp>AMZN US Equity</stp>
        <stp>LONG_TERM_BORROWINGS_DETAILED</stp>
        <stp>FQ1 1999</stp>
        <stp>FQ1 1999</stp>
        <stp>[FA1_j2ahgkxc.xlsx]Bal Sheet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3"/>
      </tp>
      <tp>
        <v>0</v>
        <stp/>
        <stp>##V3_BDHV12</stp>
        <stp>AMZN US Equity</stp>
        <stp>CF_DVD_PAID</stp>
        <stp>FQ1 2007</stp>
        <stp>FQ1 2007</stp>
        <stp>[FA1_j2ahgkxc.xlsx]Cash Flow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4"/>
      </tp>
      <tp>
        <v>1.4523999999999999</v>
        <stp/>
        <stp>##V3_BDHV12</stp>
        <stp>AMZN US Equity</stp>
        <stp>CUR_RATIO</stp>
        <stp>FQ1 2002</stp>
        <stp>FQ1 2002</stp>
        <stp>[FA1_j2ahgkxc.xlsx]Bal Sheet - Standardized!R68C15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8" s="3"/>
      </tp>
      <tp>
        <v>1.5798999999999999</v>
        <stp/>
        <stp>##V3_BDHV12</stp>
        <stp>AMZN US Equity</stp>
        <stp>CUR_RATIO</stp>
        <stp>FQ2 2002</stp>
        <stp>FQ2 2002</stp>
        <stp>[FA1_j2ahgkxc.xlsx]Bal Sheet - Standardized!R68C16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8" s="3"/>
      </tp>
      <tp>
        <v>1.5747</v>
        <stp/>
        <stp>##V3_BDHV12</stp>
        <stp>AMZN US Equity</stp>
        <stp>CUR_RATIO</stp>
        <stp>FQ3 2002</stp>
        <stp>FQ3 2002</stp>
        <stp>[FA1_j2ahgkxc.xlsx]Bal Sheet - Standardized!R68C17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8" s="3"/>
      </tp>
      <tp>
        <v>0</v>
        <stp/>
        <stp>##V3_BDHV12</stp>
        <stp>AMZN US Equity</stp>
        <stp>CF_DVD_PAID</stp>
        <stp>FQ1 2008</stp>
        <stp>FQ1 2008</stp>
        <stp>[FA1_j2ahgkxc.xlsx]Cash Flow - Standardized!R31C39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4"/>
      </tp>
      <tp t="s">
        <v>—</v>
        <stp/>
        <stp>##V3_BDHV12</stp>
        <stp>AMZN US Equity</stp>
        <stp>LONG_TERM_BORROWINGS_DETAILED</stp>
        <stp>FQ4 1998</stp>
        <stp>FQ4 1998</stp>
        <stp>[FA1_j2ahgkxc.xlsx]Bal Sheet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3"/>
      </tp>
      <tp t="s">
        <v>—</v>
        <stp/>
        <stp>##V3_BDHV12</stp>
        <stp>AMZN US Equity</stp>
        <stp>LONG_TERM_BORROWINGS_DETAILED</stp>
        <stp>FQ2 1999</stp>
        <stp>FQ2 1999</stp>
        <stp>[FA1_j2ahgkxc.xlsx]Bal Sheet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3"/>
      </tp>
      <tp>
        <v>0.27</v>
        <stp/>
        <stp>##V3_BDHV12</stp>
        <stp>AMZN US Equity</stp>
        <stp>IS_DIL_EPS_BEF_XO</stp>
        <stp>FQ3 2008</stp>
        <stp>FQ3 2008</stp>
        <stp>[FA1_j2ahgkxc.xlsx]Income - Adjusted!R41C41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1" s="2"/>
      </tp>
      <tp>
        <v>0</v>
        <stp/>
        <stp>##V3_BDHV12</stp>
        <stp>AMZN US Equity</stp>
        <stp>CF_DVD_PAID</stp>
        <stp>FQ3 2001</stp>
        <stp>FQ3 2001</stp>
        <stp>[FA1_j2ahgkxc.xlsx]Cash Flow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4"/>
      </tp>
      <tp>
        <v>37.076999999999998</v>
        <stp/>
        <stp>##V3_BDHV12</stp>
        <stp>AMZN US Equity</stp>
        <stp>OTHER_CURRENT_ASSETS_DETAILED</stp>
        <stp>FQ1 1999</stp>
        <stp>FQ1 1999</stp>
        <stp>[FA1_j2ahgkxc.xlsx]Bal Sheet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55.59</v>
        <stp/>
        <stp>##V3_BDHV12</stp>
        <stp>AMZN US Equity</stp>
        <stp>OTHER_CURRENT_ASSETS_DETAILED</stp>
        <stp>FQ3 1999</stp>
        <stp>FQ3 1999</stp>
        <stp>[FA1_j2ahgkxc.xlsx]Bal Sheet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53.334000000000003</v>
        <stp/>
        <stp>##V3_BDHV12</stp>
        <stp>AMZN US Equity</stp>
        <stp>OTHER_CURRENT_ASSETS_DETAILED</stp>
        <stp>FQ2 1999</stp>
        <stp>FQ2 1999</stp>
        <stp>[FA1_j2ahgkxc.xlsx]Bal Sheet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21.308</v>
        <stp/>
        <stp>##V3_BDHV12</stp>
        <stp>AMZN US Equity</stp>
        <stp>OTHER_CURRENT_ASSETS_DETAILED</stp>
        <stp>FQ4 1998</stp>
        <stp>FQ4 1998</stp>
        <stp>[FA1_j2ahgkxc.xlsx]Bal Sheet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85.343999999999994</v>
        <stp/>
        <stp>##V3_BDHV12</stp>
        <stp>AMZN US Equity</stp>
        <stp>OTHER_CURRENT_ASSETS_DETAILED</stp>
        <stp>FQ4 1999</stp>
        <stp>FQ4 1999</stp>
        <stp>[FA1_j2ahgkxc.xlsx]Bal Sheet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71.78</v>
        <stp/>
        <stp>##V3_BDHV12</stp>
        <stp>AMZN US Equity</stp>
        <stp>PX_OPEN</stp>
        <stp>FQ4 2008</stp>
        <stp>FQ4 2008</stp>
        <stp>[FA1_j2ahgkxc.xlsx]Stock Value!R8C42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6"/>
      </tp>
      <tp>
        <v>48.37</v>
        <stp/>
        <stp>##V3_BDHV12</stp>
        <stp>AMZN US Equity</stp>
        <stp>PX_OPEN</stp>
        <stp>FQ4 2003</stp>
        <stp>FQ4 2003</stp>
        <stp>[FA1_j2ahgkxc.xlsx]Stock Value!R8C22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6"/>
      </tp>
      <tp>
        <v>84.88</v>
        <stp/>
        <stp>##V3_BDHV12</stp>
        <stp>AMZN US Equity</stp>
        <stp>PX_HIGH</stp>
        <stp>FQ2 2008</stp>
        <stp>FQ2 2008</stp>
        <stp>[FA1_j2ahgkxc.xlsx]Stock Value!R9C40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9" s="6"/>
      </tp>
      <tp>
        <v>37.24</v>
        <stp/>
        <stp>##V3_BDHV12</stp>
        <stp>AMZN US Equity</stp>
        <stp>PX_HIGH</stp>
        <stp>FQ2 2003</stp>
        <stp>FQ2 2003</stp>
        <stp>[FA1_j2ahgkxc.xlsx]Stock Value!R9C20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9" s="6"/>
      </tp>
      <tp>
        <v>36.67</v>
        <stp/>
        <stp>##V3_BDHV12</stp>
        <stp>AMZN US Equity</stp>
        <stp>PX_OPEN</stp>
        <stp>FQ2 2006</stp>
        <stp>FQ2 2006</stp>
        <stp>[FA1_j2ahgkxc.xlsx]Stock Value!R8C32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6"/>
      </tp>
      <tp>
        <v>10.33</v>
        <stp/>
        <stp>##V3_BDHV12</stp>
        <stp>AMZN US Equity</stp>
        <stp>PX_OPEN</stp>
        <stp>FQ2 2001</stp>
        <stp>FQ2 2001</stp>
        <stp>[FA1_j2ahgkxc.xlsx]Stock Value!R8C12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6"/>
      </tp>
      <tp>
        <v>50.000999999999998</v>
        <stp/>
        <stp>##V3_BDHV12</stp>
        <stp>AMZN US Equity</stp>
        <stp>PX_HIGH</stp>
        <stp>FQ4 2005</stp>
        <stp>FQ4 2005</stp>
        <stp>[FA1_j2ahgkxc.xlsx]Stock Value!R9C30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9" s="6"/>
      </tp>
      <tp>
        <v>7.0000000000000007E-2</v>
        <stp/>
        <stp>##V3_BDHV12</stp>
        <stp>AMZN US Equity</stp>
        <stp>IS_DIL_EPS_BEF_XO</stp>
        <stp>FQ3 2005</stp>
        <stp>FQ3 2005</stp>
        <stp>[FA1_j2ahgkxc.xlsx]Per Share!R18C29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8" s="5"/>
      </tp>
      <tp>
        <v>40.875</v>
        <stp/>
        <stp>##V3_BDHV12</stp>
        <stp>AMZN US Equity</stp>
        <stp>PX_HIGH</stp>
        <stp>FQ4 2000</stp>
        <stp>FQ4 2000</stp>
        <stp>[FA1_j2ahgkxc.xlsx]Stock Value!R9C10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9" s="6"/>
      </tp>
      <tp t="s">
        <v>—</v>
        <stp/>
        <stp>##V3_BDHV12</stp>
        <stp>AMZN US Equity</stp>
        <stp>BS_OPTIONS_OUTSTANDING</stp>
        <stp>FQ4 2001</stp>
        <stp>FQ4 2001</stp>
        <stp>[FA1_j2ahgkxc.xlsx]Bal Sheet - Standardized!R64C14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4" s="3"/>
      </tp>
      <tp t="s">
        <v>—</v>
        <stp/>
        <stp>##V3_BDHV12</stp>
        <stp>AMZN US Equity</stp>
        <stp>BS_OPTIONS_OUTSTANDING</stp>
        <stp>FQ1 2001</stp>
        <stp>FQ1 2001</stp>
        <stp>[FA1_j2ahgkxc.xlsx]Bal Sheet - Standardized!R64C11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4" s="3"/>
      </tp>
      <tp t="s">
        <v>—</v>
        <stp/>
        <stp>##V3_BDHV12</stp>
        <stp>AMZN US Equity</stp>
        <stp>BS_OPTIONS_OUTSTANDING</stp>
        <stp>FQ2 2001</stp>
        <stp>FQ2 2001</stp>
        <stp>[FA1_j2ahgkxc.xlsx]Bal Sheet - Standardized!R64C12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4" s="3"/>
      </tp>
      <tp t="s">
        <v>—</v>
        <stp/>
        <stp>##V3_BDHV12</stp>
        <stp>AMZN US Equity</stp>
        <stp>BS_OPTIONS_OUTSTANDING</stp>
        <stp>FQ3 2001</stp>
        <stp>FQ3 2001</stp>
        <stp>[FA1_j2ahgkxc.xlsx]Bal Sheet - Standardized!R64C13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4" s="3"/>
      </tp>
      <tp>
        <v>51</v>
        <stp/>
        <stp>##V3_BDHV12</stp>
        <stp>AMZN US Equity</stp>
        <stp>NI_INCLUDING_MINORITY_INT_RATIO</stp>
        <stp>FQ1 2006</stp>
        <stp>FQ1 2006</stp>
        <stp>[FA1_j2ahgkxc.xlsx]Income - Adjusted!R24C31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4" s="2"/>
      </tp>
      <tp>
        <v>111.136</v>
        <stp/>
        <stp>##V3_BDHV12</stp>
        <stp>AMZN US Equity</stp>
        <stp>NI_INCLUDING_MINORITY_INT_RATIO</stp>
        <stp>FQ1 2004</stp>
        <stp>FQ1 2004</stp>
        <stp>[FA1_j2ahgkxc.xlsx]Income - Adjusted!R24C23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4" s="2"/>
      </tp>
      <tp>
        <v>-23.15</v>
        <stp/>
        <stp>##V3_BDHV12</stp>
        <stp>AMZN US Equity</stp>
        <stp>NI_INCLUDING_MINORITY_INT_RATIO</stp>
        <stp>FQ1 2002</stp>
        <stp>FQ1 2002</stp>
        <stp>[FA1_j2ahgkxc.xlsx]Income - Adjusted!R24C15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4" s="2"/>
      </tp>
      <tp t="s">
        <v>—</v>
        <stp/>
        <stp>##V3_BDHV12</stp>
        <stp>AMZN US Equity</stp>
        <stp>BS_OPTIONS_OUTSTANDING</stp>
        <stp>FQ3 2003</stp>
        <stp>FQ3 2003</stp>
        <stp>[FA1_j2ahgkxc.xlsx]Bal Sheet - Standardized!R64C21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4" s="3"/>
      </tp>
      <tp t="s">
        <v>—</v>
        <stp/>
        <stp>##V3_BDHV12</stp>
        <stp>AMZN US Equity</stp>
        <stp>BS_OPTIONS_OUTSTANDING</stp>
        <stp>FQ2 2003</stp>
        <stp>FQ2 2003</stp>
        <stp>[FA1_j2ahgkxc.xlsx]Bal Sheet - Standardized!R64C20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4" s="3"/>
      </tp>
      <tp>
        <v>11.8</v>
        <stp/>
        <stp>##V3_BDHV12</stp>
        <stp>AMZN US Equity</stp>
        <stp>BS_OPTIONS_OUTSTANDING</stp>
        <stp>FQ4 2005</stp>
        <stp>FQ4 2005</stp>
        <stp>[FA1_j2ahgkxc.xlsx]Bal Sheet - Standardized!R64C30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4" s="3"/>
      </tp>
      <tp>
        <v>0</v>
        <stp/>
        <stp>##V3_BDHV12</stp>
        <stp>AMZN US Equity</stp>
        <stp>MIN_NONCONTROL_INTEREST_CREDITS</stp>
        <stp>FQ2 2008</stp>
        <stp>FQ2 2008</stp>
        <stp>[FA1_j2ahgkxc.xlsx]Income - Adjusted!R25C40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5" s="2"/>
      </tp>
      <tp>
        <v>346.68799999999999</v>
        <stp/>
        <stp>##V3_BDHV12</stp>
        <stp>AMZN US Equity</stp>
        <stp>EARN_FOR_COMMON</stp>
        <stp>FQ4 2004</stp>
        <stp>FQ4 2004</stp>
        <stp>[FA1_j2ahgkxc.xlsx]Income - Adjusted!R29C26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9" s="2"/>
      </tp>
      <tp>
        <v>98</v>
        <stp/>
        <stp>##V3_BDHV12</stp>
        <stp>AMZN US Equity</stp>
        <stp>EARN_FOR_COMMON</stp>
        <stp>FQ4 2006</stp>
        <stp>FQ4 2006</stp>
        <stp>[FA1_j2ahgkxc.xlsx]Income - Adjusted!R29C34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9" s="2"/>
      </tp>
      <tp>
        <v>-169.874</v>
        <stp/>
        <stp>##V3_BDHV12</stp>
        <stp>AMZN US Equity</stp>
        <stp>EARN_FOR_COMMON</stp>
        <stp>FQ3 2001</stp>
        <stp>FQ3 2001</stp>
        <stp>[FA1_j2ahgkxc.xlsx]Income - Adjusted!R29C13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9" s="2"/>
      </tp>
      <tp>
        <v>15.563000000000001</v>
        <stp/>
        <stp>##V3_BDHV12</stp>
        <stp>AMZN US Equity</stp>
        <stp>EARN_FOR_COMMON</stp>
        <stp>FQ3 2003</stp>
        <stp>FQ3 2003</stp>
        <stp>[FA1_j2ahgkxc.xlsx]Income - Adjusted!R29C21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9" s="2"/>
      </tp>
      <tp>
        <v>78</v>
        <stp/>
        <stp>##V3_BDHV12</stp>
        <stp>AMZN US Equity</stp>
        <stp>EARN_FOR_COMMON</stp>
        <stp>FQ1 2005</stp>
        <stp>FQ1 2005</stp>
        <stp>[FA1_j2ahgkxc.xlsx]Income - Adjusted!R29C27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9" s="2"/>
      </tp>
      <tp>
        <v>111</v>
        <stp/>
        <stp>##V3_BDHV12</stp>
        <stp>AMZN US Equity</stp>
        <stp>EARN_FOR_COMMON</stp>
        <stp>FQ1 2007</stp>
        <stp>FQ1 2007</stp>
        <stp>[FA1_j2ahgkxc.xlsx]Income - Adjusted!R29C35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9" s="2"/>
      </tp>
      <tp t="s">
        <v>—</v>
        <stp/>
        <stp>##V3_BDHV12</stp>
        <stp>AMZN US Equity</stp>
        <stp>CF_FREE_CASH_FLOW_FIRM</stp>
        <stp>FQ2 2000</stp>
        <stp>FQ2 2000</stp>
        <stp>[FA1_j2ahgkxc.xlsx]Cash Flow - Standardized!R50C8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50" s="4"/>
      </tp>
      <tp t="s">
        <v>—</v>
        <stp/>
        <stp>##V3_BDHV12</stp>
        <stp>AMZN US Equity</stp>
        <stp>CF_FREE_CASH_FLOW_FIRM</stp>
        <stp>FQ3 2000</stp>
        <stp>FQ3 2000</stp>
        <stp>[FA1_j2ahgkxc.xlsx]Cash Flow - Standardized!R50C9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50" s="4"/>
      </tp>
      <tp t="s">
        <v>—</v>
        <stp/>
        <stp>##V3_BDHV12</stp>
        <stp>AMZN US Equity</stp>
        <stp>NUM_OF_EMPLOYEES</stp>
        <stp>FQ1 2004</stp>
        <stp>FQ1 2004</stp>
        <stp>[FA1_j2ahgkxc.xlsx]Bal Sheet - Standardized!R70C23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0" s="3"/>
      </tp>
      <tp>
        <v>9000</v>
        <stp/>
        <stp>##V3_BDHV12</stp>
        <stp>AMZN US Equity</stp>
        <stp>NUM_OF_EMPLOYEES</stp>
        <stp>FQ4 2004</stp>
        <stp>FQ4 2004</stp>
        <stp>[FA1_j2ahgkxc.xlsx]Bal Sheet - Standardized!R70C26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0" s="3"/>
      </tp>
      <tp t="s">
        <v>—</v>
        <stp/>
        <stp>##V3_BDHV12</stp>
        <stp>AMZN US Equity</stp>
        <stp>NUM_OF_EMPLOYEES</stp>
        <stp>FQ3 2006</stp>
        <stp>FQ3 2006</stp>
        <stp>[FA1_j2ahgkxc.xlsx]Bal Sheet - Standardized!R70C33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0" s="3"/>
      </tp>
      <tp t="s">
        <v>—</v>
        <stp/>
        <stp>##V3_BDHV12</stp>
        <stp>AMZN US Equity</stp>
        <stp>NUM_OF_EMPLOYEES</stp>
        <stp>FQ2 2006</stp>
        <stp>FQ2 2006</stp>
        <stp>[FA1_j2ahgkxc.xlsx]Bal Sheet - Standardized!R70C32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0" s="3"/>
      </tp>
      <tp t="s">
        <v>—</v>
        <stp/>
        <stp>##V3_BDHV12</stp>
        <stp>AMZN US Equity</stp>
        <stp>NUM_OF_EMPLOYEES</stp>
        <stp>FQ1 2006</stp>
        <stp>FQ1 2006</stp>
        <stp>[FA1_j2ahgkxc.xlsx]Bal Sheet - Standardized!R70C31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0" s="3"/>
      </tp>
      <tp>
        <v>13900</v>
        <stp/>
        <stp>##V3_BDHV12</stp>
        <stp>AMZN US Equity</stp>
        <stp>NUM_OF_EMPLOYEES</stp>
        <stp>FQ4 2006</stp>
        <stp>FQ4 2006</stp>
        <stp>[FA1_j2ahgkxc.xlsx]Bal Sheet - Standardized!R70C34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0" s="3"/>
      </tp>
      <tp>
        <v>0.12</v>
        <stp/>
        <stp>##V3_BDHV12</stp>
        <stp>AMZN US Equity</stp>
        <stp>IS_EARN_BEF_XO_ITEMS_PER_SH</stp>
        <stp>FQ1 2006</stp>
        <stp>FQ1 2006</stp>
        <stp>[FA1_j2ahgkxc.xlsx]Per Share!R15C31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5" s="5"/>
      </tp>
      <tp>
        <v>0.28000000000000003</v>
        <stp/>
        <stp>##V3_BDHV12</stp>
        <stp>AMZN US Equity</stp>
        <stp>IS_EARN_BEF_XO_ITEMS_PER_SH</stp>
        <stp>FQ1 2004</stp>
        <stp>FQ1 2004</stp>
        <stp>[FA1_j2ahgkxc.xlsx]Per Share!R15C23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5" s="5"/>
      </tp>
      <tp>
        <v>-0.06</v>
        <stp/>
        <stp>##V3_BDHV12</stp>
        <stp>AMZN US Equity</stp>
        <stp>IS_EARN_BEF_XO_ITEMS_PER_SH</stp>
        <stp>FQ1 2002</stp>
        <stp>FQ1 2002</stp>
        <stp>[FA1_j2ahgkxc.xlsx]Per Share!R15C15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5" s="5"/>
      </tp>
      <tp t="s">
        <v>—</v>
        <stp/>
        <stp>##V3_BDHV12</stp>
        <stp>AMZN US Equity</stp>
        <stp>NUM_OF_EMPLOYEES</stp>
        <stp>FQ1 2002</stp>
        <stp>FQ1 2002</stp>
        <stp>[FA1_j2ahgkxc.xlsx]Bal Sheet - Standardized!R70C15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0" s="3"/>
      </tp>
      <tp t="s">
        <v>—</v>
        <stp/>
        <stp>##V3_BDHV12</stp>
        <stp>AMZN US Equity</stp>
        <stp>NUM_OF_EMPLOYEES</stp>
        <stp>FQ3 2002</stp>
        <stp>FQ3 2002</stp>
        <stp>[FA1_j2ahgkxc.xlsx]Bal Sheet - Standardized!R70C17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0" s="3"/>
      </tp>
      <tp t="s">
        <v>—</v>
        <stp/>
        <stp>##V3_BDHV12</stp>
        <stp>AMZN US Equity</stp>
        <stp>NUM_OF_EMPLOYEES</stp>
        <stp>FQ2 2002</stp>
        <stp>FQ2 2002</stp>
        <stp>[FA1_j2ahgkxc.xlsx]Bal Sheet - Standardized!R70C16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0" s="3"/>
      </tp>
      <tp>
        <v>126.4983</v>
        <stp/>
        <stp>##V3_BDHV12</stp>
        <stp>AMZN US Equity</stp>
        <stp>NET_DEBT_TO_SHRHLDR_EQTY</stp>
        <stp>FQ1 1999</stp>
        <stp>FQ1 1999</stp>
        <stp>[FA1_j2ahgkxc.xlsx]Bal Sheet - Standardized!R66C4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6" s="3"/>
      </tp>
      <tp>
        <v>135.57040000000001</v>
        <stp/>
        <stp>##V3_BDHV12</stp>
        <stp>AMZN US Equity</stp>
        <stp>NET_DEBT_TO_SHRHLDR_EQTY</stp>
        <stp>FQ3 1999</stp>
        <stp>FQ3 1999</stp>
        <stp>[FA1_j2ahgkxc.xlsx]Bal Sheet - Standardized!R66C6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6" s="3"/>
      </tp>
      <tp>
        <v>-83.793999999999997</v>
        <stp/>
        <stp>##V3_BDHV12</stp>
        <stp>AMZN US Equity</stp>
        <stp>FREE_CASH_FLOW_EQUITY</stp>
        <stp>FQ3 2001</stp>
        <stp>FQ3 2001</stp>
        <stp>[FA1_j2ahgkxc.xlsx]Cash Flow - Standardized!R51C13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1" s="4"/>
      </tp>
      <tp>
        <v>13.958</v>
        <stp/>
        <stp>##V3_BDHV12</stp>
        <stp>AMZN US Equity</stp>
        <stp>BS_ST_BORROW</stp>
        <stp>FQ1 2002</stp>
        <stp>FQ1 2002</stp>
        <stp>[FA1_j2ahgkxc.xlsx]Bal Sheet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3"/>
      </tp>
      <tp>
        <v>70</v>
        <stp/>
        <stp>##V3_BDHV12</stp>
        <stp>AMZN US Equity</stp>
        <stp>BS_ST_BORROW</stp>
        <stp>FQ3 2006</stp>
        <stp>FQ3 2006</stp>
        <stp>[FA1_j2ahgkxc.xlsx]Bal Sheet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3"/>
      </tp>
      <tp>
        <v>-680</v>
        <stp/>
        <stp>##V3_BDHV12</stp>
        <stp>AMZN US Equity</stp>
        <stp>FREE_CASH_FLOW_EQUITY</stp>
        <stp>FQ1 2008</stp>
        <stp>FQ1 2008</stp>
        <stp>[FA1_j2ahgkxc.xlsx]Cash Flow - Standardized!R51C39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1" s="4"/>
      </tp>
      <tp>
        <v>-330</v>
        <stp/>
        <stp>##V3_BDHV12</stp>
        <stp>AMZN US Equity</stp>
        <stp>FREE_CASH_FLOW_EQUITY</stp>
        <stp>FQ1 2007</stp>
        <stp>FQ1 2007</stp>
        <stp>[FA1_j2ahgkxc.xlsx]Cash Flow - Standardized!R51C35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1" s="4"/>
      </tp>
      <tp>
        <v>0</v>
        <stp/>
        <stp>##V3_BDHV12</stp>
        <stp>AMZN US Equity</stp>
        <stp>BS_OTHER_INV</stp>
        <stp>FQ1 2003</stp>
        <stp>FQ1 2003</stp>
        <stp>[FA1_j2ahgkxc.xlsx]Bal Sheet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3"/>
      </tp>
      <tp>
        <v>2.4020000000000001</v>
        <stp/>
        <stp>##V3_BDHV12</stp>
        <stp>AMZN US Equity</stp>
        <stp>BS_ST_BORROW</stp>
        <stp>FQ2 2004</stp>
        <stp>FQ2 2004</stp>
        <stp>[FA1_j2ahgkxc.xlsx]Bal Sheet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3"/>
      </tp>
      <tp>
        <v>0</v>
        <stp/>
        <stp>##V3_BDHV12</stp>
        <stp>AMZN US Equity</stp>
        <stp>BS_ST_BORROW</stp>
        <stp>FQ3 2007</stp>
        <stp>FQ3 2007</stp>
        <stp>[FA1_j2ahgkxc.xlsx]Bal Sheet - Standardized!R34C37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3"/>
      </tp>
      <tp>
        <v>0</v>
        <stp/>
        <stp>##V3_BDHV12</stp>
        <stp>AMZN US Equity</stp>
        <stp>BS_OTHER_INV</stp>
        <stp>FQ2 2005</stp>
        <stp>FQ2 2005</stp>
        <stp>[FA1_j2ahgkxc.xlsx]Bal Sheet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3"/>
      </tp>
      <tp>
        <v>-659</v>
        <stp/>
        <stp>##V3_BDHV12</stp>
        <stp>AMZN US Equity</stp>
        <stp>FREE_CASH_FLOW_EQUITY</stp>
        <stp>FQ1 2006</stp>
        <stp>FQ1 2006</stp>
        <stp>[FA1_j2ahgkxc.xlsx]Cash Flow - Standardized!R51C31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1" s="4"/>
      </tp>
      <tp>
        <v>22.629000000000001</v>
        <stp/>
        <stp>##V3_BDHV12</stp>
        <stp>AMZN US Equity</stp>
        <stp>FREE_CASH_FLOW_EQUITY</stp>
        <stp>FQ3 2002</stp>
        <stp>FQ3 2002</stp>
        <stp>[FA1_j2ahgkxc.xlsx]Cash Flow - Standardized!R51C17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1" s="4"/>
      </tp>
      <tp>
        <v>19.305</v>
        <stp/>
        <stp>##V3_BDHV12</stp>
        <stp>AMZN US Equity</stp>
        <stp>BS_ST_BORROW</stp>
        <stp>FQ1 2001</stp>
        <stp>FQ1 2001</stp>
        <stp>[FA1_j2ahgkxc.xlsx]Bal Sheet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3"/>
      </tp>
      <tp>
        <v>8.1430000000000007</v>
        <stp/>
        <stp>##V3_BDHV12</stp>
        <stp>AMZN US Equity</stp>
        <stp>BS_ST_BORROW</stp>
        <stp>FQ2 2003</stp>
        <stp>FQ2 2003</stp>
        <stp>[FA1_j2ahgkxc.xlsx]Bal Sheet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3"/>
      </tp>
      <tp t="s">
        <v>—</v>
        <stp/>
        <stp>##V3_BDHV12</stp>
        <stp>AMZN US Equity</stp>
        <stp>BS_OTHER_INV</stp>
        <stp>FQ4 2008</stp>
        <stp>FQ4 2008</stp>
        <stp>[FA1_j2ahgkxc.xlsx]Bal Sheet - Standardized!R16C42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6" s="3"/>
      </tp>
      <tp>
        <v>131</v>
        <stp/>
        <stp>##V3_BDHV12</stp>
        <stp>AMZN US Equity</stp>
        <stp>BS_ST_BORROW</stp>
        <stp>FQ4 2008</stp>
        <stp>FQ4 2008</stp>
        <stp>[FA1_j2ahgkxc.xlsx]Bal Sheet - Standardized!R34C42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3"/>
      </tp>
      <tp>
        <v>0</v>
        <stp/>
        <stp>##V3_BDHV12</stp>
        <stp>AMZN US Equity</stp>
        <stp>BS_OTHER_INV</stp>
        <stp>FQ2 2003</stp>
        <stp>FQ2 2003</stp>
        <stp>[FA1_j2ahgkxc.xlsx]Bal Sheet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3"/>
      </tp>
      <tp>
        <v>0</v>
        <stp/>
        <stp>##V3_BDHV12</stp>
        <stp>AMZN US Equity</stp>
        <stp>BS_OTHER_INV</stp>
        <stp>FQ1 2001</stp>
        <stp>FQ1 2001</stp>
        <stp>[FA1_j2ahgkxc.xlsx]Bal Sheet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3"/>
      </tp>
      <tp>
        <v>-1453.9939999999999</v>
        <stp/>
        <stp>##V3_BDHV12</stp>
        <stp>AMZN US Equity</stp>
        <stp>TOTAL_EQUITY</stp>
        <stp>FQ3 2001</stp>
        <stp>FQ3 2001</stp>
        <stp>[FA1_j2ahgkxc.xlsx]Bal Sheet - Standardized!R54C13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4" s="3"/>
      </tp>
      <tp>
        <v>1470</v>
        <stp/>
        <stp>##V3_BDHV12</stp>
        <stp>AMZN US Equity</stp>
        <stp>TOTAL_EQUITY</stp>
        <stp>FQ1 2008</stp>
        <stp>FQ1 2008</stp>
        <stp>[FA1_j2ahgkxc.xlsx]Bal Sheet - Standardized!R54C39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4" s="3"/>
      </tp>
      <tp>
        <v>8</v>
        <stp/>
        <stp>##V3_BDHV12</stp>
        <stp>AMZN US Equity</stp>
        <stp>BS_ST_BORROW</stp>
        <stp>FQ2 2005</stp>
        <stp>FQ2 2005</stp>
        <stp>[FA1_j2ahgkxc.xlsx]Bal Sheet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3"/>
      </tp>
      <tp>
        <v>0</v>
        <stp/>
        <stp>##V3_BDHV12</stp>
        <stp>AMZN US Equity</stp>
        <stp>BS_OTHER_INV</stp>
        <stp>FQ3 2007</stp>
        <stp>FQ3 2007</stp>
        <stp>[FA1_j2ahgkxc.xlsx]Bal Sheet - Standardized!R16C37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6" s="3"/>
      </tp>
      <tp>
        <v>353</v>
        <stp/>
        <stp>##V3_BDHV12</stp>
        <stp>AMZN US Equity</stp>
        <stp>TOTAL_EQUITY</stp>
        <stp>FQ1 2007</stp>
        <stp>FQ1 2007</stp>
        <stp>[FA1_j2ahgkxc.xlsx]Bal Sheet - Standardized!R54C35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4" s="3"/>
      </tp>
      <tp>
        <v>0</v>
        <stp/>
        <stp>##V3_BDHV12</stp>
        <stp>AMZN US Equity</stp>
        <stp>BS_OTHER_INV</stp>
        <stp>FQ2 2004</stp>
        <stp>FQ2 2004</stp>
        <stp>[FA1_j2ahgkxc.xlsx]Bal Sheet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3"/>
      </tp>
      <tp>
        <v>11.077999999999999</v>
        <stp/>
        <stp>##V3_BDHV12</stp>
        <stp>AMZN US Equity</stp>
        <stp>BS_ST_BORROW</stp>
        <stp>FQ1 2003</stp>
        <stp>FQ1 2003</stp>
        <stp>[FA1_j2ahgkxc.xlsx]Bal Sheet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3"/>
      </tp>
      <tp>
        <v>0</v>
        <stp/>
        <stp>##V3_BDHV12</stp>
        <stp>AMZN US Equity</stp>
        <stp>BS_OTHER_INV</stp>
        <stp>FQ3 2006</stp>
        <stp>FQ3 2006</stp>
        <stp>[FA1_j2ahgkxc.xlsx]Bal Sheet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3"/>
      </tp>
      <tp>
        <v>0</v>
        <stp/>
        <stp>##V3_BDHV12</stp>
        <stp>AMZN US Equity</stp>
        <stp>BS_OTHER_INV</stp>
        <stp>FQ1 2002</stp>
        <stp>FQ1 2002</stp>
        <stp>[FA1_j2ahgkxc.xlsx]Bal Sheet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3"/>
      </tp>
      <tp>
        <v>324</v>
        <stp/>
        <stp>##V3_BDHV12</stp>
        <stp>AMZN US Equity</stp>
        <stp>TOTAL_EQUITY</stp>
        <stp>FQ1 2006</stp>
        <stp>FQ1 2006</stp>
        <stp>[FA1_j2ahgkxc.xlsx]Bal Sheet - Standardized!R54C31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4" s="3"/>
      </tp>
      <tp>
        <v>-1478.4387999999999</v>
        <stp/>
        <stp>##V3_BDHV12</stp>
        <stp>AMZN US Equity</stp>
        <stp>TOTAL_EQUITY</stp>
        <stp>FQ3 2002</stp>
        <stp>FQ3 2002</stp>
        <stp>[FA1_j2ahgkxc.xlsx]Bal Sheet - Standardized!R54C17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4" s="3"/>
      </tp>
      <tp>
        <v>61.63</v>
        <stp/>
        <stp>##V3_BDHV12</stp>
        <stp>AMZN US Equity</stp>
        <stp>CF_DEPR_AMORT</stp>
        <stp>FQ3 2001</stp>
        <stp>FQ3 2001</stp>
        <stp>[FA1_j2ahgkxc.xlsx]Cash Flow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4"/>
      </tp>
      <tp>
        <v>71.623999999999995</v>
        <stp/>
        <stp>##V3_BDHV12</stp>
        <stp>AMZN US Equity</stp>
        <stp>CF_DEPR_AMORT</stp>
        <stp>FQ2 2001</stp>
        <stp>FQ2 2001</stp>
        <stp>[FA1_j2ahgkxc.xlsx]Cash Flow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4"/>
      </tp>
      <tp>
        <v>73.903999999999996</v>
        <stp/>
        <stp>##V3_BDHV12</stp>
        <stp>AMZN US Equity</stp>
        <stp>CF_DEPR_AMORT</stp>
        <stp>FQ1 2001</stp>
        <stp>FQ1 2001</stp>
        <stp>[FA1_j2ahgkxc.xlsx]Cash Flow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4"/>
      </tp>
      <tp>
        <v>58.584000000000003</v>
        <stp/>
        <stp>##V3_BDHV12</stp>
        <stp>AMZN US Equity</stp>
        <stp>CF_DEPR_AMORT</stp>
        <stp>FQ4 2001</stp>
        <stp>FQ4 2001</stp>
        <stp>[FA1_j2ahgkxc.xlsx]Cash Flow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4"/>
      </tp>
      <tp t="s">
        <v>—</v>
        <stp/>
        <stp>##V3_BDHV12</stp>
        <stp>AMZN US Equity</stp>
        <stp>CF_STOCK_BASED_COMPENSATION</stp>
        <stp>FQ1 1999</stp>
        <stp>FQ1 1999</stp>
        <stp>[FA1_j2ahgkxc.xlsx]Cash Flow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4"/>
      </tp>
      <tp t="s">
        <v>—</v>
        <stp/>
        <stp>##V3_BDHV12</stp>
        <stp>AMZN US Equity</stp>
        <stp>CF_STOCK_BASED_COMPENSATION</stp>
        <stp>FQ4 1999</stp>
        <stp>FQ4 1999</stp>
        <stp>[FA1_j2ahgkxc.xlsx]Cash Flow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4"/>
      </tp>
      <tp t="s">
        <v>—</v>
        <stp/>
        <stp>##V3_BDHV12</stp>
        <stp>AMZN US Equity</stp>
        <stp>CF_CHANGE_IN_ACCOUNTS_PAYABLE</stp>
        <stp>FQ4 2002</stp>
        <stp>FQ4 2002</stp>
        <stp>[FA1_j2ahgkxc.xlsx]Cash Flow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4"/>
      </tp>
      <tp>
        <v>22.91</v>
        <stp/>
        <stp>##V3_BDHV12</stp>
        <stp>AMZN US Equity</stp>
        <stp>CF_DEPR_AMORT</stp>
        <stp>FQ1 2002</stp>
        <stp>FQ1 2002</stp>
        <stp>[FA1_j2ahgkxc.xlsx]Cash Flow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4"/>
      </tp>
      <tp>
        <v>22.344000000000001</v>
        <stp/>
        <stp>##V3_BDHV12</stp>
        <stp>AMZN US Equity</stp>
        <stp>CF_DEPR_AMORT</stp>
        <stp>FQ2 2002</stp>
        <stp>FQ2 2002</stp>
        <stp>[FA1_j2ahgkxc.xlsx]Cash Flow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4"/>
      </tp>
      <tp>
        <v>21.713000000000001</v>
        <stp/>
        <stp>##V3_BDHV12</stp>
        <stp>AMZN US Equity</stp>
        <stp>CF_DEPR_AMORT</stp>
        <stp>FQ3 2002</stp>
        <stp>FQ3 2002</stp>
        <stp>[FA1_j2ahgkxc.xlsx]Cash Flow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4"/>
      </tp>
      <tp>
        <v>76.042000000000002</v>
        <stp/>
        <stp>##V3_BDHV12</stp>
        <stp>AMZN US Equity</stp>
        <stp>CF_DEPR_AMORT</stp>
        <stp>FQ4 2000</stp>
        <stp>FQ4 2000</stp>
        <stp>[FA1_j2ahgkxc.xlsx]Cash Flow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4"/>
      </tp>
      <tp t="s">
        <v>—</v>
        <stp/>
        <stp>##V3_BDHV12</stp>
        <stp>AMZN US Equity</stp>
        <stp>CF_STOCK_BASED_COMPENSATION</stp>
        <stp>FQ2 1999</stp>
        <stp>FQ2 1999</stp>
        <stp>[FA1_j2ahgkxc.xlsx]Cash Flow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4"/>
      </tp>
      <tp t="s">
        <v>—</v>
        <stp/>
        <stp>##V3_BDHV12</stp>
        <stp>AMZN US Equity</stp>
        <stp>CF_STOCK_BASED_COMPENSATION</stp>
        <stp>FQ3 1999</stp>
        <stp>FQ3 1999</stp>
        <stp>[FA1_j2ahgkxc.xlsx]Cash Flow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4"/>
      </tp>
      <tp>
        <v>19.75</v>
        <stp/>
        <stp>##V3_BDHV12</stp>
        <stp>AMZN US Equity</stp>
        <stp>CF_DEPR_AMORT</stp>
        <stp>FQ1 2003</stp>
        <stp>FQ1 2003</stp>
        <stp>[FA1_j2ahgkxc.xlsx]Cash Flow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4"/>
      </tp>
      <tp t="s">
        <v>—</v>
        <stp/>
        <stp>##V3_BDHV12</stp>
        <stp>AMZN US Equity</stp>
        <stp>CF_CHANGE_IN_ACCOUNTS_PAYABLE</stp>
        <stp>FQ4 2001</stp>
        <stp>FQ4 2001</stp>
        <stp>[FA1_j2ahgkxc.xlsx]Cash Flow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4"/>
      </tp>
      <tp>
        <v>20.776</v>
        <stp/>
        <stp>##V3_BDHV12</stp>
        <stp>AMZN US Equity</stp>
        <stp>CF_DEPR_AMORT</stp>
        <stp>FQ4 2002</stp>
        <stp>FQ4 2002</stp>
        <stp>[FA1_j2ahgkxc.xlsx]Cash Flow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4"/>
      </tp>
      <tp t="s">
        <v>—</v>
        <stp/>
        <stp>##V3_BDHV12</stp>
        <stp>AMZN US Equity</stp>
        <stp>CF_CHANGE_IN_ACCOUNTS_PAYABLE</stp>
        <stp>FQ4 2000</stp>
        <stp>FQ4 2000</stp>
        <stp>[FA1_j2ahgkxc.xlsx]Cash Flow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4"/>
      </tp>
      <tp>
        <v>407.464</v>
        <stp/>
        <stp>##V3_BDHV12</stp>
        <stp>AMZN US Equity</stp>
        <stp>BS_SH_OUT</stp>
        <stp>FQ3 2004</stp>
        <stp>FQ3 2004</stp>
        <stp>[FA1_j2ahgkxc.xlsx]Bal Sheet - Standardized!R59C25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9" s="3"/>
      </tp>
      <tp>
        <v>406.71100000000001</v>
        <stp/>
        <stp>##V3_BDHV12</stp>
        <stp>AMZN US Equity</stp>
        <stp>BS_SH_OUT</stp>
        <stp>FQ2 2004</stp>
        <stp>FQ2 2004</stp>
        <stp>[FA1_j2ahgkxc.xlsx]Bal Sheet - Standardized!R59C24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9" s="3"/>
      </tp>
      <tp>
        <v>-2.7414000000000001</v>
        <stp/>
        <stp>##V3_BDHV12</stp>
        <stp>AMZN US Equity</stp>
        <stp>TANG_BOOK_VAL_PER_SH</stp>
        <stp>FQ4 2003</stp>
        <stp>FQ4 2003</stp>
        <stp>[FA1_j2ahgkxc.xlsx]Per Share!R27C22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7" s="5"/>
      </tp>
      <tp>
        <v>-2.1073</v>
        <stp/>
        <stp>##V3_BDHV12</stp>
        <stp>AMZN US Equity</stp>
        <stp>TANG_BOOK_VAL_PER_SH</stp>
        <stp>FQ3 2004</stp>
        <stp>FQ3 2004</stp>
        <stp>[FA1_j2ahgkxc.xlsx]Per Share!R27C25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7" s="5"/>
      </tp>
      <tp>
        <v>0.81359999999999999</v>
        <stp/>
        <stp>##V3_BDHV12</stp>
        <stp>AMZN US Equity</stp>
        <stp>TANG_BOOK_VAL_PER_SH</stp>
        <stp>FQ2 2007</stp>
        <stp>FQ2 2007</stp>
        <stp>[FA1_j2ahgkxc.xlsx]Per Share!R27C36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7" s="5"/>
      </tp>
      <tp>
        <v>2.5850999999999997</v>
        <stp/>
        <stp>##V3_BDHV12</stp>
        <stp>AMZN US Equity</stp>
        <stp>TANG_BOOK_VAL_PER_SH</stp>
        <stp>FQ1 2008</stp>
        <stp>FQ1 2008</stp>
        <stp>[FA1_j2ahgkxc.xlsx]Per Share!R27C39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7" s="5"/>
      </tp>
      <tp>
        <v>-8.9088999999999992</v>
        <stp/>
        <stp>##V3_BDHV12</stp>
        <stp>AMZN US Equity</stp>
        <stp>TCE_RATIO</stp>
        <stp>FQ2 2005</stp>
        <stp>FQ2 2005</stp>
        <stp>[FA1_j2ahgkxc.xlsx]Bal Sheet - Standardized!R67C28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7" s="3"/>
      </tp>
      <tp>
        <v>-5.7239000000000004</v>
        <stp/>
        <stp>##V3_BDHV12</stp>
        <stp>AMZN US Equity</stp>
        <stp>TCE_RATIO</stp>
        <stp>FQ3 2005</stp>
        <stp>FQ3 2005</stp>
        <stp>[FA1_j2ahgkxc.xlsx]Bal Sheet - Standardized!R67C29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7" s="3"/>
      </tp>
      <tp>
        <v>-323.21300000000002</v>
        <stp/>
        <stp>##V3_BDHV12</stp>
        <stp>AMZN US Equity</stp>
        <stp>EARN_FOR_COMMON</stp>
        <stp>FQ4 1999</stp>
        <stp>FQ4 1999</stp>
        <stp>[FA1_j2ahgkxc.xlsx]Income - Adjusted!R29C7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9" s="2"/>
      </tp>
      <tp>
        <v>22.375</v>
        <stp/>
        <stp>##V3_BDHV12</stp>
        <stp>AMZN US Equity</stp>
        <stp>PX_HIGH</stp>
        <stp>FQ1 2001</stp>
        <stp>FQ1 2001</stp>
        <stp>[FA1_j2ahgkxc.xlsx]Stock Value!R9C11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9" s="6"/>
      </tp>
      <tp>
        <v>48.58</v>
        <stp/>
        <stp>##V3_BDHV12</stp>
        <stp>AMZN US Equity</stp>
        <stp>PX_HIGH</stp>
        <stp>FQ1 2006</stp>
        <stp>FQ1 2006</stp>
        <stp>[FA1_j2ahgkxc.xlsx]Stock Value!R9C31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9" s="6"/>
      </tp>
      <tp t="s">
        <v>—</v>
        <stp/>
        <stp>##V3_BDHV12</stp>
        <stp>AMZN US Equity</stp>
        <stp>BS_OPTIONS_OUTSTANDING</stp>
        <stp>FQ1 2008</stp>
        <stp>FQ1 2008</stp>
        <stp>[FA1_j2ahgkxc.xlsx]Bal Sheet - Standardized!R64C39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4" s="3"/>
      </tp>
      <tp>
        <v>91.75</v>
        <stp/>
        <stp>##V3_BDHV12</stp>
        <stp>AMZN US Equity</stp>
        <stp>PX_HIGH</stp>
        <stp>FQ3 2008</stp>
        <stp>FQ3 2008</stp>
        <stp>[FA1_j2ahgkxc.xlsx]Stock Value!R9C41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9" s="6"/>
      </tp>
      <tp>
        <v>51.3</v>
        <stp/>
        <stp>##V3_BDHV12</stp>
        <stp>AMZN US Equity</stp>
        <stp>PX_HIGH</stp>
        <stp>FQ3 2003</stp>
        <stp>FQ3 2003</stp>
        <stp>[FA1_j2ahgkxc.xlsx]Stock Value!R9C21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9" s="6"/>
      </tp>
      <tp>
        <v>38.520000000000003</v>
        <stp/>
        <stp>##V3_BDHV12</stp>
        <stp>AMZN US Equity</stp>
        <stp>PX_OPEN</stp>
        <stp>FQ3 2006</stp>
        <stp>FQ3 2006</stp>
        <stp>[FA1_j2ahgkxc.xlsx]Stock Value!R8C33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6"/>
      </tp>
      <tp>
        <v>0.12</v>
        <stp/>
        <stp>##V3_BDHV12</stp>
        <stp>AMZN US Equity</stp>
        <stp>IS_DIL_EPS_BEF_XO</stp>
        <stp>FQ2 2005</stp>
        <stp>FQ2 2005</stp>
        <stp>[FA1_j2ahgkxc.xlsx]Per Share!R18C28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8" s="5"/>
      </tp>
      <tp>
        <v>14.1</v>
        <stp/>
        <stp>##V3_BDHV12</stp>
        <stp>AMZN US Equity</stp>
        <stp>PX_OPEN</stp>
        <stp>FQ3 2001</stp>
        <stp>FQ3 2001</stp>
        <stp>[FA1_j2ahgkxc.xlsx]Stock Value!R8C13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6"/>
      </tp>
      <tp>
        <v>75.078999999999994</v>
        <stp/>
        <stp>##V3_BDHV12</stp>
        <stp>AMZN US Equity</stp>
        <stp>OTHER_NON_CASH_ADJ_LESS_DETAILED</stp>
        <stp>FQ1 2000</stp>
        <stp>FQ1 2000</stp>
        <stp>[FA1_j2ahgkxc.xlsx]Cash Flow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52.76</v>
        <stp/>
        <stp>##V3_BDHV12</stp>
        <stp>AMZN US Equity</stp>
        <stp>PX_OPEN</stp>
        <stp>FQ1 2004</stp>
        <stp>FQ1 2004</stp>
        <stp>[FA1_j2ahgkxc.xlsx]Stock Value!R8C23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6"/>
      </tp>
      <tp>
        <v>101.364</v>
        <stp/>
        <stp>##V3_BDHV12</stp>
        <stp>AMZN US Equity</stp>
        <stp>OTHER_NON_CASH_ADJ_LESS_DETAILED</stp>
        <stp>FQ3 2000</stp>
        <stp>FQ3 2000</stp>
        <stp>[FA1_j2ahgkxc.xlsx]Cash Flow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4"/>
      </tp>
      <tp>
        <v>100.554</v>
        <stp/>
        <stp>##V3_BDHV12</stp>
        <stp>AMZN US Equity</stp>
        <stp>OTHER_NON_CASH_ADJ_LESS_DETAILED</stp>
        <stp>FQ2 2000</stp>
        <stp>FQ2 2000</stp>
        <stp>[FA1_j2ahgkxc.xlsx]Cash Flow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4"/>
      </tp>
      <tp>
        <v>133</v>
        <stp/>
        <stp>##V3_BDHV12</stp>
        <stp>AMZN US Equity</stp>
        <stp>IS_SELLING_EXPENSES</stp>
        <stp>FQ4 2007</stp>
        <stp>FQ4 2007</stp>
        <stp>[FA1_j2ahgkxc.xlsx]Income - Adjusted!R11C38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1" s="2"/>
      </tp>
      <tp>
        <v>29.33</v>
        <stp/>
        <stp>##V3_BDHV12</stp>
        <stp>AMZN US Equity</stp>
        <stp>INC_DEC_IN_OT_OP_AST_LIAB_DETAIL</stp>
        <stp>FQ3 2000</stp>
        <stp>FQ3 2000</stp>
        <stp>[FA1_j2ahgkxc.xlsx]Cash Flow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4"/>
      </tp>
      <tp>
        <v>53.34</v>
        <stp/>
        <stp>##V3_BDHV12</stp>
        <stp>AMZN US Equity</stp>
        <stp>INC_DEC_IN_OT_OP_AST_LIAB_DETAIL</stp>
        <stp>FQ2 2000</stp>
        <stp>FQ2 2000</stp>
        <stp>[FA1_j2ahgkxc.xlsx]Cash Flow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4"/>
      </tp>
      <tp>
        <v>0</v>
        <stp/>
        <stp>##V3_BDHV12</stp>
        <stp>AMZN US Equity</stp>
        <stp>MIN_NONCONTROL_INTEREST_CREDITS</stp>
        <stp>FQ3 2008</stp>
        <stp>FQ3 2008</stp>
        <stp>[FA1_j2ahgkxc.xlsx]Income - Adjusted!R25C41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5" s="2"/>
      </tp>
      <tp>
        <v>-201.81899999999999</v>
        <stp/>
        <stp>##V3_BDHV12</stp>
        <stp>AMZN US Equity</stp>
        <stp>INC_DEC_IN_OT_OP_AST_LIAB_DETAIL</stp>
        <stp>FQ1 2000</stp>
        <stp>FQ1 2000</stp>
        <stp>[FA1_j2ahgkxc.xlsx]Cash Flow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4"/>
      </tp>
      <tp>
        <v>-43.314</v>
        <stp/>
        <stp>##V3_BDHV12</stp>
        <stp>AMZN US Equity</stp>
        <stp>EARN_FOR_COMMON</stp>
        <stp>FQ2 2003</stp>
        <stp>FQ2 2003</stp>
        <stp>[FA1_j2ahgkxc.xlsx]Income - Adjusted!R29C20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9" s="2"/>
      </tp>
      <tp>
        <v>-168.35900000000001</v>
        <stp/>
        <stp>##V3_BDHV12</stp>
        <stp>AMZN US Equity</stp>
        <stp>EARN_FOR_COMMON</stp>
        <stp>FQ2 2001</stp>
        <stp>FQ2 2001</stp>
        <stp>[FA1_j2ahgkxc.xlsx]Income - Adjusted!R29C12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9" s="2"/>
      </tp>
      <tp t="s">
        <v>—</v>
        <stp/>
        <stp>##V3_BDHV12</stp>
        <stp>AMZN US Equity</stp>
        <stp>CF_CHANGE_IN_INVENTORIES</stp>
        <stp>FQ1 2000</stp>
        <stp>FQ1 2000</stp>
        <stp>[FA1_j2ahgkxc.xlsx]Cash Flow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4"/>
      </tp>
      <tp>
        <v>-0.115</v>
        <stp/>
        <stp>##V3_BDHV12</stp>
        <stp>AMZN US Equity</stp>
        <stp>IS_DIL_EPS_CONT_OPS</stp>
        <stp>FQ1 1999</stp>
        <stp>FQ1 1999</stp>
        <stp>[FA1_j2ahgkxc.xlsx]Income - Adjusted!R42C4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2" s="2"/>
      </tp>
      <tp>
        <v>-0.26</v>
        <stp/>
        <stp>##V3_BDHV12</stp>
        <stp>AMZN US Equity</stp>
        <stp>IS_DIL_EPS_CONT_OPS</stp>
        <stp>FQ3 1999</stp>
        <stp>FQ3 1999</stp>
        <stp>[FA1_j2ahgkxc.xlsx]Income - Adjusted!R42C6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2" s="2"/>
      </tp>
      <tp t="s">
        <v>—</v>
        <stp/>
        <stp>##V3_BDHV12</stp>
        <stp>AMZN US Equity</stp>
        <stp>CF_CHANGE_IN_INVENTORIES</stp>
        <stp>FQ3 2000</stp>
        <stp>FQ3 2000</stp>
        <stp>[FA1_j2ahgkxc.xlsx]Cash Flow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4"/>
      </tp>
      <tp t="s">
        <v>—</v>
        <stp/>
        <stp>##V3_BDHV12</stp>
        <stp>AMZN US Equity</stp>
        <stp>CF_CHANGE_IN_INVENTORIES</stp>
        <stp>FQ2 2000</stp>
        <stp>FQ2 2000</stp>
        <stp>[FA1_j2ahgkxc.xlsx]Cash Flow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4"/>
      </tp>
      <tp>
        <v>-12.034000000000001</v>
        <stp/>
        <stp>##V3_BDHV12</stp>
        <stp>AMZN US Equity</stp>
        <stp>FREE_CASH_FLOW_EQUITY</stp>
        <stp>FQ2 2001</stp>
        <stp>FQ2 2001</stp>
        <stp>[FA1_j2ahgkxc.xlsx]Cash Flow - Standardized!R51C12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1" s="4"/>
      </tp>
      <tp>
        <v>43</v>
        <stp/>
        <stp>##V3_BDHV12</stp>
        <stp>AMZN US Equity</stp>
        <stp>BS_ST_BORROW</stp>
        <stp>FQ2 2006</stp>
        <stp>FQ2 2006</stp>
        <stp>[FA1_j2ahgkxc.xlsx]Bal Sheet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3"/>
      </tp>
      <tp>
        <v>4.9800000000000004</v>
        <stp/>
        <stp>##V3_BDHV12</stp>
        <stp>AMZN US Equity</stp>
        <stp>PROC_FR_REPURCH_EQTY_DETAILED</stp>
        <stp>FQ4 2000</stp>
        <stp>FQ4 2000</stp>
        <stp>[FA1_j2ahgkxc.xlsx]Cash Flow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4"/>
      </tp>
      <tp>
        <v>-585</v>
        <stp/>
        <stp>##V3_BDHV12</stp>
        <stp>AMZN US Equity</stp>
        <stp>FREE_CASH_FLOW_EQUITY</stp>
        <stp>FQ1 2005</stp>
        <stp>FQ1 2005</stp>
        <stp>[FA1_j2ahgkxc.xlsx]Cash Flow - Standardized!R51C27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1" s="4"/>
      </tp>
      <tp>
        <v>2.0470000000000002</v>
        <stp/>
        <stp>##V3_BDHV12</stp>
        <stp>AMZN US Equity</stp>
        <stp>PROC_FR_REPURCH_EQTY_DETAILED</stp>
        <stp>FQ4 2001</stp>
        <stp>FQ4 2001</stp>
        <stp>[FA1_j2ahgkxc.xlsx]Cash Flow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4"/>
      </tp>
      <tp>
        <v>3.452</v>
        <stp/>
        <stp>##V3_BDHV12</stp>
        <stp>AMZN US Equity</stp>
        <stp>BS_ST_BORROW</stp>
        <stp>FQ3 2004</stp>
        <stp>FQ3 2004</stp>
        <stp>[FA1_j2ahgkxc.xlsx]Bal Sheet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3"/>
      </tp>
      <tp>
        <v>16</v>
        <stp/>
        <stp>##V3_BDHV12</stp>
        <stp>AMZN US Equity</stp>
        <stp>BS_ST_BORROW</stp>
        <stp>FQ2 2007</stp>
        <stp>FQ2 2007</stp>
        <stp>[FA1_j2ahgkxc.xlsx]Bal Sheet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3"/>
      </tp>
      <tp>
        <v>0</v>
        <stp/>
        <stp>##V3_BDHV12</stp>
        <stp>AMZN US Equity</stp>
        <stp>BS_OTHER_INV</stp>
        <stp>FQ3 2005</stp>
        <stp>FQ3 2005</stp>
        <stp>[FA1_j2ahgkxc.xlsx]Bal Sheet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3"/>
      </tp>
      <tp>
        <v>-415.84800000000001</v>
        <stp/>
        <stp>##V3_BDHV12</stp>
        <stp>AMZN US Equity</stp>
        <stp>FREE_CASH_FLOW_EQUITY</stp>
        <stp>FQ1 2004</stp>
        <stp>FQ1 2004</stp>
        <stp>[FA1_j2ahgkxc.xlsx]Cash Flow - Standardized!R51C23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1" s="4"/>
      </tp>
      <tp>
        <v>-6.2350000000000003</v>
        <stp/>
        <stp>##V3_BDHV12</stp>
        <stp>AMZN US Equity</stp>
        <stp>FREE_CASH_FLOW_EQUITY</stp>
        <stp>FQ2 2002</stp>
        <stp>FQ2 2002</stp>
        <stp>[FA1_j2ahgkxc.xlsx]Cash Flow - Standardized!R51C16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1" s="4"/>
      </tp>
      <tp>
        <v>6.0579999999999998</v>
        <stp/>
        <stp>##V3_BDHV12</stp>
        <stp>AMZN US Equity</stp>
        <stp>BS_ST_BORROW</stp>
        <stp>FQ3 2003</stp>
        <stp>FQ3 2003</stp>
        <stp>[FA1_j2ahgkxc.xlsx]Bal Sheet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3"/>
      </tp>
      <tp>
        <v>0</v>
        <stp/>
        <stp>##V3_BDHV12</stp>
        <stp>AMZN US Equity</stp>
        <stp>BS_OTHER_INV</stp>
        <stp>FQ3 2003</stp>
        <stp>FQ3 2003</stp>
        <stp>[FA1_j2ahgkxc.xlsx]Bal Sheet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3"/>
      </tp>
      <tp>
        <v>-1429.931</v>
        <stp/>
        <stp>##V3_BDHV12</stp>
        <stp>AMZN US Equity</stp>
        <stp>TOTAL_EQUITY</stp>
        <stp>FQ2 2001</stp>
        <stp>FQ2 2001</stp>
        <stp>[FA1_j2ahgkxc.xlsx]Bal Sheet - Standardized!R54C12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4" s="3"/>
      </tp>
      <tp>
        <v>17</v>
        <stp/>
        <stp>##V3_BDHV12</stp>
        <stp>AMZN US Equity</stp>
        <stp>BS_ST_BORROW</stp>
        <stp>FQ3 2005</stp>
        <stp>FQ3 2005</stp>
        <stp>[FA1_j2ahgkxc.xlsx]Bal Sheet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3"/>
      </tp>
      <tp>
        <v>0</v>
        <stp/>
        <stp>##V3_BDHV12</stp>
        <stp>AMZN US Equity</stp>
        <stp>BS_OTHER_INV</stp>
        <stp>FQ2 2007</stp>
        <stp>FQ2 2007</stp>
        <stp>[FA1_j2ahgkxc.xlsx]Bal Sheet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3"/>
      </tp>
      <tp>
        <v>-162</v>
        <stp/>
        <stp>##V3_BDHV12</stp>
        <stp>AMZN US Equity</stp>
        <stp>TOTAL_EQUITY</stp>
        <stp>FQ1 2005</stp>
        <stp>FQ1 2005</stp>
        <stp>[FA1_j2ahgkxc.xlsx]Bal Sheet - Standardized!R54C27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4" s="3"/>
      </tp>
      <tp>
        <v>65.376000000000005</v>
        <stp/>
        <stp>##V3_BDHV12</stp>
        <stp>AMZN US Equity</stp>
        <stp>PROC_FR_REPURCH_EQTY_DETAILED</stp>
        <stp>FQ4 2002</stp>
        <stp>FQ4 2002</stp>
        <stp>[FA1_j2ahgkxc.xlsx]Cash Flow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4"/>
      </tp>
      <tp>
        <v>0</v>
        <stp/>
        <stp>##V3_BDHV12</stp>
        <stp>AMZN US Equity</stp>
        <stp>BS_OTHER_INV</stp>
        <stp>FQ3 2004</stp>
        <stp>FQ3 2004</stp>
        <stp>[FA1_j2ahgkxc.xlsx]Bal Sheet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3"/>
      </tp>
      <tp>
        <v>0.1</v>
        <stp/>
        <stp>##V3_BDHV12</stp>
        <stp>AMZN US Equity</stp>
        <stp>IS_DIL_EPS_CONT_OPS</stp>
        <stp>FQ1 2003</stp>
        <stp>FQ1 2003</stp>
        <stp>[FA1_j2ahgkxc.xlsx]Income - Adjusted!R42C19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2" s="2"/>
      </tp>
      <tp>
        <v>0.19</v>
        <stp/>
        <stp>##V3_BDHV12</stp>
        <stp>AMZN US Equity</stp>
        <stp>IS_DIL_EPS_CONT_OPS</stp>
        <stp>FQ4 2002</stp>
        <stp>FQ4 2002</stp>
        <stp>[FA1_j2ahgkxc.xlsx]Income - Adjusted!R42C18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2" s="2"/>
      </tp>
      <tp>
        <v>0.52</v>
        <stp/>
        <stp>##V3_BDHV12</stp>
        <stp>AMZN US Equity</stp>
        <stp>IS_DIL_EPS_CONT_OPS</stp>
        <stp>FQ4 2008</stp>
        <stp>FQ4 2008</stp>
        <stp>[FA1_j2ahgkxc.xlsx]Income - Adjusted!R42C42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2" s="2"/>
      </tp>
      <tp>
        <v>0</v>
        <stp/>
        <stp>##V3_BDHV12</stp>
        <stp>AMZN US Equity</stp>
        <stp>BS_OTHER_INV</stp>
        <stp>FQ2 2006</stp>
        <stp>FQ2 2006</stp>
        <stp>[FA1_j2ahgkxc.xlsx]Bal Sheet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3"/>
      </tp>
      <tp>
        <v>-905.04989999999998</v>
        <stp/>
        <stp>##V3_BDHV12</stp>
        <stp>AMZN US Equity</stp>
        <stp>TOTAL_EQUITY</stp>
        <stp>FQ1 2004</stp>
        <stp>FQ1 2004</stp>
        <stp>[FA1_j2ahgkxc.xlsx]Bal Sheet - Standardized!R54C23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4" s="3"/>
      </tp>
      <tp>
        <v>-1443.9110000000001</v>
        <stp/>
        <stp>##V3_BDHV12</stp>
        <stp>AMZN US Equity</stp>
        <stp>TOTAL_EQUITY</stp>
        <stp>FQ2 2002</stp>
        <stp>FQ2 2002</stp>
        <stp>[FA1_j2ahgkxc.xlsx]Bal Sheet - Standardized!R54C16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4" s="3"/>
      </tp>
      <tp>
        <v>-195.87299999999999</v>
        <stp/>
        <stp>##V3_BDHV12</stp>
        <stp>AMZN US Equity</stp>
        <stp>IS_OPER_INC</stp>
        <stp>FQ1 2000</stp>
        <stp>FQ1 2000</stp>
        <stp>[FA1_j2ahgkxc.xlsx]Income - Adjusted!R12C8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>
        <v>-3.4232</v>
        <stp/>
        <stp>##V3_BDHV12</stp>
        <stp>AMZN US Equity</stp>
        <stp>TANG_BOOK_VAL_PER_SH</stp>
        <stp>FQ4 2000</stp>
        <stp>FQ4 2000</stp>
        <stp>[FA1_j2ahgkxc.xlsx]Per Share!R27C10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7" s="5"/>
      </tp>
      <tp>
        <v>1.3084</v>
        <stp/>
        <stp>##V3_BDHV12</stp>
        <stp>AMZN US Equity</stp>
        <stp>TANG_BOOK_VAL_PER_SH</stp>
        <stp>FQ3 2007</stp>
        <stp>FQ3 2007</stp>
        <stp>[FA1_j2ahgkxc.xlsx]Per Share!R27C37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7" s="5"/>
      </tp>
      <tp>
        <v>-2.1145</v>
        <stp/>
        <stp>##V3_BDHV12</stp>
        <stp>AMZN US Equity</stp>
        <stp>TANG_BOOK_VAL_PER_SH</stp>
        <stp>FQ2 2004</stp>
        <stp>FQ2 2004</stp>
        <stp>[FA1_j2ahgkxc.xlsx]Per Share!R27C24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7" s="5"/>
      </tp>
      <tp>
        <v>-4.0625</v>
        <stp/>
        <stp>##V3_BDHV12</stp>
        <stp>AMZN US Equity</stp>
        <stp>TANG_BOOK_VAL_PER_SH</stp>
        <stp>FQ1 2001</stp>
        <stp>FQ1 2001</stp>
        <stp>[FA1_j2ahgkxc.xlsx]Per Share!R27C11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7" s="5"/>
      </tp>
      <tp>
        <v>411</v>
        <stp/>
        <stp>##V3_BDHV12</stp>
        <stp>AMZN US Equity</stp>
        <stp>BS_SH_OUT</stp>
        <stp>FQ1 2005</stp>
        <stp>FQ1 2005</stp>
        <stp>[FA1_j2ahgkxc.xlsx]Bal Sheet - Standardized!R59C27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9" s="3"/>
      </tp>
      <tp>
        <v>413</v>
        <stp/>
        <stp>##V3_BDHV12</stp>
        <stp>AMZN US Equity</stp>
        <stp>BS_SH_OUT</stp>
        <stp>FQ2 2007</stp>
        <stp>FQ2 2007</stp>
        <stp>[FA1_j2ahgkxc.xlsx]Bal Sheet - Standardized!R59C36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9" s="3"/>
      </tp>
      <tp>
        <v>415</v>
        <stp/>
        <stp>##V3_BDHV12</stp>
        <stp>AMZN US Equity</stp>
        <stp>BS_SH_OUT</stp>
        <stp>FQ3 2007</stp>
        <stp>FQ3 2007</stp>
        <stp>[FA1_j2ahgkxc.xlsx]Bal Sheet - Standardized!R59C37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9" s="3"/>
      </tp>
      <tp>
        <v>409</v>
        <stp/>
        <stp>##V3_BDHV12</stp>
        <stp>AMZN US Equity</stp>
        <stp>BS_SH_OUT</stp>
        <stp>FQ1 2007</stp>
        <stp>FQ1 2007</stp>
        <stp>[FA1_j2ahgkxc.xlsx]Bal Sheet - Standardized!R59C35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9" s="3"/>
      </tp>
      <tp>
        <v>28.364699999999999</v>
        <stp/>
        <stp>##V3_BDHV12</stp>
        <stp>AMZN US Equity</stp>
        <stp>TCE_RATIO</stp>
        <stp>FQ4 2008</stp>
        <stp>FQ4 2008</stp>
        <stp>[FA1_j2ahgkxc.xlsx]Bal Sheet - Standardized!R67C42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7" s="3"/>
      </tp>
      <tp t="s">
        <v>—</v>
        <stp/>
        <stp>##V3_BDHV12</stp>
        <stp>AMZN US Equity</stp>
        <stp>CF_STOCK_BASED_COMPENSATION</stp>
        <stp>FQ4 2002</stp>
        <stp>FQ4 2002</stp>
        <stp>[FA1_j2ahgkxc.xlsx]Cash Flow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4"/>
      </tp>
      <tp t="s">
        <v>—</v>
        <stp/>
        <stp>##V3_BDHV12</stp>
        <stp>AMZN US Equity</stp>
        <stp>CF_STOCK_BASED_COMPENSATION</stp>
        <stp>FQ4 2001</stp>
        <stp>FQ4 2001</stp>
        <stp>[FA1_j2ahgkxc.xlsx]Cash Flow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4"/>
      </tp>
      <tp>
        <v>-74.4756</v>
        <stp/>
        <stp>##V3_BDHV12</stp>
        <stp>AMZN US Equity</stp>
        <stp>TCE_RATIO</stp>
        <stp>FQ4 2002</stp>
        <stp>FQ4 2002</stp>
        <stp>[FA1_j2ahgkxc.xlsx]Bal Sheet - Standardized!R67C18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7" s="3"/>
      </tp>
      <tp t="s">
        <v>—</v>
        <stp/>
        <stp>##V3_BDHV12</stp>
        <stp>AMZN US Equity</stp>
        <stp>CF_STOCK_BASED_COMPENSATION</stp>
        <stp>FQ4 2000</stp>
        <stp>FQ4 2000</stp>
        <stp>[FA1_j2ahgkxc.xlsx]Cash Flow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4"/>
      </tp>
      <tp>
        <v>38.188000000000002</v>
        <stp/>
        <stp>##V3_BDHV12</stp>
        <stp>AMZN US Equity</stp>
        <stp>PX_OPEN</stp>
        <stp>FQ4 2000</stp>
        <stp>FQ4 2000</stp>
        <stp>[FA1_j2ahgkxc.xlsx]Stock Value!R8C10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6"/>
      </tp>
      <tp>
        <v>45.33</v>
        <stp/>
        <stp>##V3_BDHV12</stp>
        <stp>AMZN US Equity</stp>
        <stp>PX_OPEN</stp>
        <stp>FQ4 2005</stp>
        <stp>FQ4 2005</stp>
        <stp>[FA1_j2ahgkxc.xlsx]Stock Value!R8C30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6"/>
      </tp>
      <tp>
        <v>18.16</v>
        <stp/>
        <stp>##V3_BDHV12</stp>
        <stp>AMZN US Equity</stp>
        <stp>PX_HIGH</stp>
        <stp>FQ2 2001</stp>
        <stp>FQ2 2001</stp>
        <stp>[FA1_j2ahgkxc.xlsx]Stock Value!R9C12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9" s="6"/>
      </tp>
      <tp>
        <v>38.840000000000003</v>
        <stp/>
        <stp>##V3_BDHV12</stp>
        <stp>AMZN US Equity</stp>
        <stp>PX_HIGH</stp>
        <stp>FQ2 2006</stp>
        <stp>FQ2 2006</stp>
        <stp>[FA1_j2ahgkxc.xlsx]Stock Value!R9C32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9" s="6"/>
      </tp>
      <tp>
        <v>72.989999999999995</v>
        <stp/>
        <stp>##V3_BDHV12</stp>
        <stp>AMZN US Equity</stp>
        <stp>PX_OPEN</stp>
        <stp>FQ2 2008</stp>
        <stp>FQ2 2008</stp>
        <stp>[FA1_j2ahgkxc.xlsx]Stock Value!R8C40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6"/>
      </tp>
      <tp>
        <v>25.55</v>
        <stp/>
        <stp>##V3_BDHV12</stp>
        <stp>AMZN US Equity</stp>
        <stp>PX_OPEN</stp>
        <stp>FQ2 2003</stp>
        <stp>FQ2 2003</stp>
        <stp>[FA1_j2ahgkxc.xlsx]Stock Value!R8C20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6"/>
      </tp>
      <tp>
        <v>71.989999999999995</v>
        <stp/>
        <stp>##V3_BDHV12</stp>
        <stp>AMZN US Equity</stp>
        <stp>PX_HIGH</stp>
        <stp>FQ4 2008</stp>
        <stp>FQ4 2008</stp>
        <stp>[FA1_j2ahgkxc.xlsx]Stock Value!R9C42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9" s="6"/>
      </tp>
      <tp>
        <v>61.15</v>
        <stp/>
        <stp>##V3_BDHV12</stp>
        <stp>AMZN US Equity</stp>
        <stp>PX_HIGH</stp>
        <stp>FQ4 2003</stp>
        <stp>FQ4 2003</stp>
        <stp>[FA1_j2ahgkxc.xlsx]Stock Value!R9C22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9" s="6"/>
      </tp>
      <tp>
        <v>19</v>
        <stp/>
        <stp>##V3_BDHV12</stp>
        <stp>AMZN US Equity</stp>
        <stp>NI_INCLUDING_MINORITY_INT_RATIO</stp>
        <stp>FQ3 2006</stp>
        <stp>FQ3 2006</stp>
        <stp>[FA1_j2ahgkxc.xlsx]Income - Adjusted!R24C33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4" s="2"/>
      </tp>
      <tp>
        <v>-35.08</v>
        <stp/>
        <stp>##V3_BDHV12</stp>
        <stp>AMZN US Equity</stp>
        <stp>NI_INCLUDING_MINORITY_INT_RATIO</stp>
        <stp>FQ3 2002</stp>
        <stp>FQ3 2002</stp>
        <stp>[FA1_j2ahgkxc.xlsx]Income - Adjusted!R24C17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4" s="2"/>
      </tp>
      <tp>
        <v>5.0869999999999997</v>
        <stp/>
        <stp>##V3_BDHV12</stp>
        <stp>AMZN US Equity</stp>
        <stp>NI_INCLUDING_MINORITY_INT_RATIO</stp>
        <stp>FQ4 2001</stp>
        <stp>FQ4 2001</stp>
        <stp>[FA1_j2ahgkxc.xlsx]Income - Adjusted!R24C14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4" s="2"/>
      </tp>
      <tp>
        <v>199</v>
        <stp/>
        <stp>##V3_BDHV12</stp>
        <stp>AMZN US Equity</stp>
        <stp>NI_INCLUDING_MINORITY_INT_RATIO</stp>
        <stp>FQ4 2005</stp>
        <stp>FQ4 2005</stp>
        <stp>[FA1_j2ahgkxc.xlsx]Income - Adjusted!R24C30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4" s="2"/>
      </tp>
      <tp>
        <v>17</v>
        <stp/>
        <stp>##V3_BDHV12</stp>
        <stp>AMZN US Equity</stp>
        <stp>BS_OPTIONS_OUTSTANDING</stp>
        <stp>FQ1 2005</stp>
        <stp>FQ1 2005</stp>
        <stp>[FA1_j2ahgkxc.xlsx]Bal Sheet - Standardized!R64C27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4" s="3"/>
      </tp>
      <tp t="s">
        <v>—</v>
        <stp/>
        <stp>##V3_BDHV12</stp>
        <stp>AMZN US Equity</stp>
        <stp>BS_OPTIONS_OUTSTANDING</stp>
        <stp>FQ2 2007</stp>
        <stp>FQ2 2007</stp>
        <stp>[FA1_j2ahgkxc.xlsx]Bal Sheet - Standardized!R64C36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4" s="3"/>
      </tp>
      <tp t="s">
        <v>—</v>
        <stp/>
        <stp>##V3_BDHV12</stp>
        <stp>AMZN US Equity</stp>
        <stp>BS_OPTIONS_OUTSTANDING</stp>
        <stp>FQ3 2007</stp>
        <stp>FQ3 2007</stp>
        <stp>[FA1_j2ahgkxc.xlsx]Bal Sheet - Standardized!R64C37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4" s="3"/>
      </tp>
      <tp t="s">
        <v>—</v>
        <stp/>
        <stp>##V3_BDHV12</stp>
        <stp>AMZN US Equity</stp>
        <stp>BS_OPTIONS_OUTSTANDING</stp>
        <stp>FQ1 2007</stp>
        <stp>FQ1 2007</stp>
        <stp>[FA1_j2ahgkxc.xlsx]Bal Sheet - Standardized!R64C35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4" s="3"/>
      </tp>
      <tp t="s">
        <v>—</v>
        <stp/>
        <stp>##V3_BDHV12</stp>
        <stp>AMZN US Equity</stp>
        <stp>IS_SELLING_EXPENSES</stp>
        <stp>FQ3 2005</stp>
        <stp>FQ3 2005</stp>
        <stp>[FA1_j2ahgkxc.xlsx]Income - Adjusted!R11C29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1" s="2"/>
      </tp>
      <tp>
        <v>0</v>
        <stp/>
        <stp>##V3_BDHV12</stp>
        <stp>AMZN US Equity</stp>
        <stp>MIN_NONCONTROL_INTEREST_CREDITS</stp>
        <stp>FQ4 2002</stp>
        <stp>FQ4 2002</stp>
        <stp>[FA1_j2ahgkxc.xlsx]Income - Adjusted!R25C18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5" s="2"/>
      </tp>
      <tp>
        <v>0</v>
        <stp/>
        <stp>##V3_BDHV12</stp>
        <stp>AMZN US Equity</stp>
        <stp>MIN_NONCONTROL_INTEREST_CREDITS</stp>
        <stp>FQ4 2008</stp>
        <stp>FQ4 2008</stp>
        <stp>[FA1_j2ahgkxc.xlsx]Income - Adjusted!R25C42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5" s="2"/>
      </tp>
      <tp>
        <v>0</v>
        <stp/>
        <stp>##V3_BDHV12</stp>
        <stp>AMZN US Equity</stp>
        <stp>MIN_NONCONTROL_INTEREST_CREDITS</stp>
        <stp>FQ1 2003</stp>
        <stp>FQ1 2003</stp>
        <stp>[FA1_j2ahgkxc.xlsx]Income - Adjusted!R25C19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5" s="2"/>
      </tp>
      <tp>
        <v>-545.14</v>
        <stp/>
        <stp>##V3_BDHV12</stp>
        <stp>AMZN US Equity</stp>
        <stp>EARN_FOR_COMMON</stp>
        <stp>FQ4 2000</stp>
        <stp>FQ4 2000</stp>
        <stp>[FA1_j2ahgkxc.xlsx]Income - Adjusted!R29C10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9" s="2"/>
      </tp>
      <tp>
        <v>80</v>
        <stp/>
        <stp>##V3_BDHV12</stp>
        <stp>AMZN US Equity</stp>
        <stp>EARN_FOR_COMMON</stp>
        <stp>FQ3 2007</stp>
        <stp>FQ3 2007</stp>
        <stp>[FA1_j2ahgkxc.xlsx]Income - Adjusted!R29C37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9" s="2"/>
      </tp>
      <tp>
        <v>76.48</v>
        <stp/>
        <stp>##V3_BDHV12</stp>
        <stp>AMZN US Equity</stp>
        <stp>EARN_FOR_COMMON</stp>
        <stp>FQ2 2004</stp>
        <stp>FQ2 2004</stp>
        <stp>[FA1_j2ahgkxc.xlsx]Income - Adjusted!R29C24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9" s="2"/>
      </tp>
      <tp>
        <v>-234.131</v>
        <stp/>
        <stp>##V3_BDHV12</stp>
        <stp>AMZN US Equity</stp>
        <stp>EARN_FOR_COMMON</stp>
        <stp>FQ1 2001</stp>
        <stp>FQ1 2001</stp>
        <stp>[FA1_j2ahgkxc.xlsx]Income - Adjusted!R29C11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9" s="2"/>
      </tp>
      <tp>
        <v>-7.0000000000000007E-2</v>
        <stp/>
        <stp>##V3_BDHV12</stp>
        <stp>AMZN US Equity</stp>
        <stp>IS_DIL_EPS_CONT_OPS</stp>
        <stp>FQ4 1998</stp>
        <stp>FQ4 1998</stp>
        <stp>[FA1_j2ahgkxc.xlsx]Income - Adjusted!R42C3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2" s="2"/>
      </tp>
      <tp t="s">
        <v>—</v>
        <stp/>
        <stp>##V3_BDHV12</stp>
        <stp>AMZN US Equity</stp>
        <stp>NUM_OF_EMPLOYEES</stp>
        <stp>FQ4 2000</stp>
        <stp>FQ4 2000</stp>
        <stp>[FA1_j2ahgkxc.xlsx]Bal Sheet - Standardized!R70C10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0" s="3"/>
      </tp>
      <tp>
        <v>0.01</v>
        <stp/>
        <stp>##V3_BDHV12</stp>
        <stp>AMZN US Equity</stp>
        <stp>IS_EARN_BEF_XO_ITEMS_PER_SH</stp>
        <stp>FQ4 2001</stp>
        <stp>FQ4 2001</stp>
        <stp>[FA1_j2ahgkxc.xlsx]Per Share!R15C14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5" s="5"/>
      </tp>
      <tp>
        <v>0.48</v>
        <stp/>
        <stp>##V3_BDHV12</stp>
        <stp>AMZN US Equity</stp>
        <stp>IS_EARN_BEF_XO_ITEMS_PER_SH</stp>
        <stp>FQ4 2005</stp>
        <stp>FQ4 2005</stp>
        <stp>[FA1_j2ahgkxc.xlsx]Per Share!R15C30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5" s="5"/>
      </tp>
      <tp>
        <v>0.05</v>
        <stp/>
        <stp>##V3_BDHV12</stp>
        <stp>AMZN US Equity</stp>
        <stp>IS_EARN_BEF_XO_ITEMS_PER_SH</stp>
        <stp>FQ3 2006</stp>
        <stp>FQ3 2006</stp>
        <stp>[FA1_j2ahgkxc.xlsx]Per Share!R15C33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5" s="5"/>
      </tp>
      <tp>
        <v>-0.09</v>
        <stp/>
        <stp>##V3_BDHV12</stp>
        <stp>AMZN US Equity</stp>
        <stp>IS_EARN_BEF_XO_ITEMS_PER_SH</stp>
        <stp>FQ3 2002</stp>
        <stp>FQ3 2002</stp>
        <stp>[FA1_j2ahgkxc.xlsx]Per Share!R15C17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5" s="5"/>
      </tp>
      <tp>
        <v>55.1374</v>
        <stp/>
        <stp>##V3_BDHV12</stp>
        <stp>AMZN US Equity</stp>
        <stp>NET_DEBT_TO_SHRHLDR_EQTY</stp>
        <stp>FQ2 1999</stp>
        <stp>FQ2 1999</stp>
        <stp>[FA1_j2ahgkxc.xlsx]Bal Sheet - Standardized!R66C5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6" s="3"/>
      </tp>
      <tp>
        <v>-17.7455</v>
        <stp/>
        <stp>##V3_BDHV12</stp>
        <stp>AMZN US Equity</stp>
        <stp>NET_DEBT_TO_SHRHLDR_EQTY</stp>
        <stp>FQ4 1998</stp>
        <stp>FQ4 1998</stp>
        <stp>[FA1_j2ahgkxc.xlsx]Bal Sheet - Standardized!R66C3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6" s="3"/>
      </tp>
      <tp>
        <v>-162.035</v>
        <stp/>
        <stp>##V3_BDHV12</stp>
        <stp>AMZN US Equity</stp>
        <stp>FREE_CASH_FLOW_EQUITY</stp>
        <stp>FQ2 2003</stp>
        <stp>FQ2 2003</stp>
        <stp>[FA1_j2ahgkxc.xlsx]Cash Flow - Standardized!R51C20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1" s="4"/>
      </tp>
      <tp>
        <v>-420.99599999999998</v>
        <stp/>
        <stp>##V3_BDHV12</stp>
        <stp>AMZN US Equity</stp>
        <stp>FREE_CASH_FLOW_EQUITY</stp>
        <stp>FQ1 2001</stp>
        <stp>FQ1 2001</stp>
        <stp>[FA1_j2ahgkxc.xlsx]Cash Flow - Standardized!R51C11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1" s="4"/>
      </tp>
      <tp>
        <v>30.49</v>
        <stp/>
        <stp>##V3_BDHV12</stp>
        <stp>AMZN US Equity</stp>
        <stp>PROC_FR_REPURCH_EQTY_DETAILED</stp>
        <stp>FQ4 2003</stp>
        <stp>FQ4 2003</stp>
        <stp>[FA1_j2ahgkxc.xlsx]Cash Flow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4"/>
      </tp>
      <tp>
        <v>13.134</v>
        <stp/>
        <stp>##V3_BDHV12</stp>
        <stp>AMZN US Equity</stp>
        <stp>BS_ST_BORROW</stp>
        <stp>FQ3 2002</stp>
        <stp>FQ3 2002</stp>
        <stp>[FA1_j2ahgkxc.xlsx]Bal Sheet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3"/>
      </tp>
      <tp>
        <v>2</v>
        <stp/>
        <stp>##V3_BDHV12</stp>
        <stp>AMZN US Equity</stp>
        <stp>BS_ST_BORROW</stp>
        <stp>FQ1 2006</stp>
        <stp>FQ1 2006</stp>
        <stp>[FA1_j2ahgkxc.xlsx]Bal Sheet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3"/>
      </tp>
      <tp>
        <v>172</v>
        <stp/>
        <stp>##V3_BDHV12</stp>
        <stp>AMZN US Equity</stp>
        <stp>FREE_CASH_FLOW_EQUITY</stp>
        <stp>FQ3 2007</stp>
        <stp>FQ3 2007</stp>
        <stp>[FA1_j2ahgkxc.xlsx]Cash Flow - Standardized!R51C37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1" s="4"/>
      </tp>
      <tp>
        <v>-1289.0640000000001</v>
        <stp/>
        <stp>##V3_BDHV12</stp>
        <stp>AMZN US Equity</stp>
        <stp>TOTAL_EQUITY</stp>
        <stp>FQ1 2003</stp>
        <stp>FQ1 2003</stp>
        <stp>[FA1_j2ahgkxc.xlsx]Bal Sheet - Standardized!R54C19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4" s="3"/>
      </tp>
      <tp>
        <v>128.24799999999999</v>
        <stp/>
        <stp>##V3_BDHV12</stp>
        <stp>AMZN US Equity</stp>
        <stp>FREE_CASH_FLOW_EQUITY</stp>
        <stp>FQ2 2004</stp>
        <stp>FQ2 2004</stp>
        <stp>[FA1_j2ahgkxc.xlsx]Cash Flow - Standardized!R51C24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1" s="4"/>
      </tp>
      <tp>
        <v>17.491</v>
        <stp/>
        <stp>##V3_BDHV12</stp>
        <stp>AMZN US Equity</stp>
        <stp>PROC_FR_REPURCH_EQTY_DETAILED</stp>
        <stp>FQ4 2004</stp>
        <stp>FQ4 2004</stp>
        <stp>[FA1_j2ahgkxc.xlsx]Cash Flow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4"/>
      </tp>
      <tp>
        <v>0</v>
        <stp/>
        <stp>##V3_BDHV12</stp>
        <stp>AMZN US Equity</stp>
        <stp>BS_ST_BORROW</stp>
        <stp>FQ1 2007</stp>
        <stp>FQ1 2007</stp>
        <stp>[FA1_j2ahgkxc.xlsx]Bal Sheet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3"/>
      </tp>
      <tp>
        <v>906</v>
        <stp/>
        <stp>##V3_BDHV12</stp>
        <stp>AMZN US Equity</stp>
        <stp>BS_ST_BORROW</stp>
        <stp>FQ1 2008</stp>
        <stp>FQ1 2008</stp>
        <stp>[FA1_j2ahgkxc.xlsx]Bal Sheet - Standardized!R34C39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3"/>
      </tp>
      <tp>
        <v>-64</v>
        <stp/>
        <stp>##V3_BDHV12</stp>
        <stp>AMZN US Equity</stp>
        <stp>TOTAL_EQUITY</stp>
        <stp>FQ2 2005</stp>
        <stp>FQ2 2005</stp>
        <stp>[FA1_j2ahgkxc.xlsx]Bal Sheet - Standardized!R54C28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4" s="3"/>
      </tp>
      <tp>
        <v>39</v>
        <stp/>
        <stp>##V3_BDHV12</stp>
        <stp>AMZN US Equity</stp>
        <stp>FREE_CASH_FLOW_EQUITY</stp>
        <stp>FQ3 2006</stp>
        <stp>FQ3 2006</stp>
        <stp>[FA1_j2ahgkxc.xlsx]Cash Flow - Standardized!R51C33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1" s="4"/>
      </tp>
      <tp>
        <v>-250.45</v>
        <stp/>
        <stp>##V3_BDHV12</stp>
        <stp>AMZN US Equity</stp>
        <stp>FREE_CASH_FLOW_EQUITY</stp>
        <stp>FQ1 2002</stp>
        <stp>FQ1 2002</stp>
        <stp>[FA1_j2ahgkxc.xlsx]Cash Flow - Standardized!R51C15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1" s="4"/>
      </tp>
      <tp>
        <v>2672</v>
        <stp/>
        <stp>##V3_BDHV12</stp>
        <stp>AMZN US Equity</stp>
        <stp>TOTAL_EQUITY</stp>
        <stp>FQ4 2008</stp>
        <stp>FQ4 2008</stp>
        <stp>[FA1_j2ahgkxc.xlsx]Bal Sheet - Standardized!R54C42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4" s="3"/>
      </tp>
      <tp>
        <v>16.053999999999998</v>
        <stp/>
        <stp>##V3_BDHV12</stp>
        <stp>AMZN US Equity</stp>
        <stp>BS_ST_BORROW</stp>
        <stp>FQ3 2001</stp>
        <stp>FQ3 2001</stp>
        <stp>[FA1_j2ahgkxc.xlsx]Bal Sheet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3"/>
      </tp>
      <tp>
        <v>0</v>
        <stp/>
        <stp>##V3_BDHV12</stp>
        <stp>AMZN US Equity</stp>
        <stp>BS_OTHER_INV</stp>
        <stp>FQ3 2001</stp>
        <stp>FQ3 2001</stp>
        <stp>[FA1_j2ahgkxc.xlsx]Bal Sheet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3"/>
      </tp>
      <tp>
        <v>-1246.8359</v>
        <stp/>
        <stp>##V3_BDHV12</stp>
        <stp>AMZN US Equity</stp>
        <stp>TOTAL_EQUITY</stp>
        <stp>FQ2 2003</stp>
        <stp>FQ2 2003</stp>
        <stp>[FA1_j2ahgkxc.xlsx]Bal Sheet - Standardized!R54C20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4" s="3"/>
      </tp>
      <tp>
        <v>-1253.4110000000001</v>
        <stp/>
        <stp>##V3_BDHV12</stp>
        <stp>AMZN US Equity</stp>
        <stp>TOTAL_EQUITY</stp>
        <stp>FQ1 2001</stp>
        <stp>FQ1 2001</stp>
        <stp>[FA1_j2ahgkxc.xlsx]Bal Sheet - Standardized!R54C11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4" s="3"/>
      </tp>
      <tp>
        <v>0</v>
        <stp/>
        <stp>##V3_BDHV12</stp>
        <stp>AMZN US Equity</stp>
        <stp>BS_OTHER_INV</stp>
        <stp>FQ1 2008</stp>
        <stp>FQ1 2008</stp>
        <stp>[FA1_j2ahgkxc.xlsx]Bal Sheet - Standardized!R16C39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6" s="3"/>
      </tp>
      <tp>
        <v>-261.39699999999999</v>
        <stp/>
        <stp>##V3_BDHV12</stp>
        <stp>AMZN US Equity</stp>
        <stp>FREE_CASH_FLOW_EQUITY</stp>
        <stp>FQ1 2003</stp>
        <stp>FQ1 2003</stp>
        <stp>[FA1_j2ahgkxc.xlsx]Cash Flow - Standardized!R51C19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1" s="4"/>
      </tp>
      <tp>
        <v>0</v>
        <stp/>
        <stp>##V3_BDHV12</stp>
        <stp>AMZN US Equity</stp>
        <stp>BS_OTHER_INV</stp>
        <stp>FQ1 2007</stp>
        <stp>FQ1 2007</stp>
        <stp>[FA1_j2ahgkxc.xlsx]Bal Sheet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3"/>
      </tp>
      <tp>
        <v>761</v>
        <stp/>
        <stp>##V3_BDHV12</stp>
        <stp>AMZN US Equity</stp>
        <stp>TOTAL_EQUITY</stp>
        <stp>FQ3 2007</stp>
        <stp>FQ3 2007</stp>
        <stp>[FA1_j2ahgkxc.xlsx]Bal Sheet - Standardized!R54C37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4" s="3"/>
      </tp>
      <tp>
        <v>-790.85799999999995</v>
        <stp/>
        <stp>##V3_BDHV12</stp>
        <stp>AMZN US Equity</stp>
        <stp>TOTAL_EQUITY</stp>
        <stp>FQ2 2004</stp>
        <stp>FQ2 2004</stp>
        <stp>[FA1_j2ahgkxc.xlsx]Bal Sheet - Standardized!R54C24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4" s="3"/>
      </tp>
      <tp>
        <v>198</v>
        <stp/>
        <stp>##V3_BDHV12</stp>
        <stp>AMZN US Equity</stp>
        <stp>FREE_CASH_FLOW_EQUITY</stp>
        <stp>FQ2 2005</stp>
        <stp>FQ2 2005</stp>
        <stp>[FA1_j2ahgkxc.xlsx]Cash Flow - Standardized!R51C28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1" s="4"/>
      </tp>
      <tp>
        <v>0.27</v>
        <stp/>
        <stp>##V3_BDHV12</stp>
        <stp>AMZN US Equity</stp>
        <stp>IS_DIL_EPS_CONT_OPS</stp>
        <stp>FQ3 2008</stp>
        <stp>FQ3 2008</stp>
        <stp>[FA1_j2ahgkxc.xlsx]Income - Adjusted!R42C41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2" s="2"/>
      </tp>
      <tp>
        <v>49</v>
        <stp/>
        <stp>##V3_BDHV12</stp>
        <stp>AMZN US Equity</stp>
        <stp>PROC_FR_REPURCH_EQTY_DETAILED</stp>
        <stp>FQ2 2008</stp>
        <stp>FQ2 2008</stp>
        <stp>[FA1_j2ahgkxc.xlsx]Cash Flow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4"/>
      </tp>
      <tp t="s">
        <v>—</v>
        <stp/>
        <stp>##V3_BDHV12</stp>
        <stp>AMZN US Equity</stp>
        <stp>FREE_CASH_FLOW_EQUITY</stp>
        <stp>FQ4 2008</stp>
        <stp>FQ4 2008</stp>
        <stp>[FA1_j2ahgkxc.xlsx]Cash Flow - Standardized!R51C42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1" s="4"/>
      </tp>
      <tp>
        <v>0</v>
        <stp/>
        <stp>##V3_BDHV12</stp>
        <stp>AMZN US Equity</stp>
        <stp>BS_OTHER_INV</stp>
        <stp>FQ1 2006</stp>
        <stp>FQ1 2006</stp>
        <stp>[FA1_j2ahgkxc.xlsx]Bal Sheet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3"/>
      </tp>
      <tp>
        <v>0</v>
        <stp/>
        <stp>##V3_BDHV12</stp>
        <stp>AMZN US Equity</stp>
        <stp>BS_OTHER_INV</stp>
        <stp>FQ3 2002</stp>
        <stp>FQ3 2002</stp>
        <stp>[FA1_j2ahgkxc.xlsx]Bal Sheet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3"/>
      </tp>
      <tp>
        <v>196</v>
        <stp/>
        <stp>##V3_BDHV12</stp>
        <stp>AMZN US Equity</stp>
        <stp>TOTAL_EQUITY</stp>
        <stp>FQ3 2006</stp>
        <stp>FQ3 2006</stp>
        <stp>[FA1_j2ahgkxc.xlsx]Bal Sheet - Standardized!R54C33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4" s="3"/>
      </tp>
      <tp>
        <v>-1447.375</v>
        <stp/>
        <stp>##V3_BDHV12</stp>
        <stp>AMZN US Equity</stp>
        <stp>TOTAL_EQUITY</stp>
        <stp>FQ1 2002</stp>
        <stp>FQ1 2002</stp>
        <stp>[FA1_j2ahgkxc.xlsx]Bal Sheet - Standardized!R54C15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4" s="3"/>
      </tp>
      <tp>
        <v>1144</v>
        <stp/>
        <stp>##V3_BDHV12</stp>
        <stp>AMZN US Equity</stp>
        <stp>CF_CHANGE_IN_ACCOUNTS_PAYABLE</stp>
        <stp>FQ4 2007</stp>
        <stp>FQ4 2007</stp>
        <stp>[FA1_j2ahgkxc.xlsx]Cash Flow - Standardized!R16C38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6" s="4"/>
      </tp>
      <tp t="s">
        <v>—</v>
        <stp/>
        <stp>##V3_BDHV12</stp>
        <stp>AMZN US Equity</stp>
        <stp>CF_CHANGE_IN_ACCOUNTS_PAYABLE</stp>
        <stp>FQ3 2008</stp>
        <stp>FQ3 2008</stp>
        <stp>[FA1_j2ahgkxc.xlsx]Cash Flow - Standardized!R16C41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6" s="4"/>
      </tp>
      <tp>
        <v>59</v>
        <stp/>
        <stp>##V3_BDHV12</stp>
        <stp>AMZN US Equity</stp>
        <stp>CF_DEPR_AMORT</stp>
        <stp>FQ4 2006</stp>
        <stp>FQ4 2006</stp>
        <stp>[FA1_j2ahgkxc.xlsx]Cash Flow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4"/>
      </tp>
      <tp>
        <v>40</v>
        <stp/>
        <stp>##V3_BDHV12</stp>
        <stp>AMZN US Equity</stp>
        <stp>CF_DEPR_AMORT</stp>
        <stp>FQ1 2006</stp>
        <stp>FQ1 2006</stp>
        <stp>[FA1_j2ahgkxc.xlsx]Cash Flow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4"/>
      </tp>
      <tp>
        <v>43</v>
        <stp/>
        <stp>##V3_BDHV12</stp>
        <stp>AMZN US Equity</stp>
        <stp>CF_DEPR_AMORT</stp>
        <stp>FQ2 2006</stp>
        <stp>FQ2 2006</stp>
        <stp>[FA1_j2ahgkxc.xlsx]Cash Flow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4"/>
      </tp>
      <tp>
        <v>63</v>
        <stp/>
        <stp>##V3_BDHV12</stp>
        <stp>AMZN US Equity</stp>
        <stp>CF_DEPR_AMORT</stp>
        <stp>FQ3 2006</stp>
        <stp>FQ3 2006</stp>
        <stp>[FA1_j2ahgkxc.xlsx]Cash Flow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4"/>
      </tp>
      <tp>
        <v>-0.59</v>
        <stp/>
        <stp>##V3_BDHV12</stp>
        <stp>AMZN US Equity</stp>
        <stp>IS_DILUTED_EPS</stp>
        <stp>FQ3 1999</stp>
        <stp>FQ3 1999</stp>
        <stp>[FA1_j2ahgkxc.xlsx]Per Share!R17C6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7" s="5"/>
      </tp>
      <tp>
        <v>-0.43</v>
        <stp/>
        <stp>##V3_BDHV12</stp>
        <stp>AMZN US Equity</stp>
        <stp>IS_DILUTED_EPS</stp>
        <stp>FQ2 1999</stp>
        <stp>FQ2 1999</stp>
        <stp>[FA1_j2ahgkxc.xlsx]Per Share!R17C5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7" s="5"/>
      </tp>
      <tp>
        <v>-0.2</v>
        <stp/>
        <stp>##V3_BDHV12</stp>
        <stp>AMZN US Equity</stp>
        <stp>IS_DILUTED_EPS</stp>
        <stp>FQ1 1999</stp>
        <stp>FQ1 1999</stp>
        <stp>[FA1_j2ahgkxc.xlsx]Per Share!R17C4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7" s="5"/>
      </tp>
      <tp>
        <v>-0.96</v>
        <stp/>
        <stp>##V3_BDHV12</stp>
        <stp>AMZN US Equity</stp>
        <stp>IS_DILUTED_EPS</stp>
        <stp>FQ4 1999</stp>
        <stp>FQ4 1999</stp>
        <stp>[FA1_j2ahgkxc.xlsx]Per Share!R17C7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7" s="5"/>
      </tp>
      <tp>
        <v>37</v>
        <stp/>
        <stp>##V3_BDHV12</stp>
        <stp>AMZN US Equity</stp>
        <stp>CF_DEPR_AMORT</stp>
        <stp>FQ4 2005</stp>
        <stp>FQ4 2005</stp>
        <stp>[FA1_j2ahgkxc.xlsx]Cash Flow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4"/>
      </tp>
      <tp>
        <v>62</v>
        <stp/>
        <stp>##V3_BDHV12</stp>
        <stp>AMZN US Equity</stp>
        <stp>CF_DEPR_AMORT</stp>
        <stp>FQ1 2007</stp>
        <stp>FQ1 2007</stp>
        <stp>[FA1_j2ahgkxc.xlsx]Cash Flow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4"/>
      </tp>
      <tp>
        <v>61</v>
        <stp/>
        <stp>##V3_BDHV12</stp>
        <stp>AMZN US Equity</stp>
        <stp>CF_DEPR_AMORT</stp>
        <stp>FQ3 2007</stp>
        <stp>FQ3 2007</stp>
        <stp>[FA1_j2ahgkxc.xlsx]Cash Flow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4"/>
      </tp>
      <tp>
        <v>60</v>
        <stp/>
        <stp>##V3_BDHV12</stp>
        <stp>AMZN US Equity</stp>
        <stp>CF_DEPR_AMORT</stp>
        <stp>FQ2 2007</stp>
        <stp>FQ2 2007</stp>
        <stp>[FA1_j2ahgkxc.xlsx]Cash Flow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4"/>
      </tp>
      <tp>
        <v>65</v>
        <stp/>
        <stp>##V3_BDHV12</stp>
        <stp>AMZN US Equity</stp>
        <stp>CF_DEPR_AMORT</stp>
        <stp>FQ1 2008</stp>
        <stp>FQ1 2008</stp>
        <stp>[FA1_j2ahgkxc.xlsx]Cash Flow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4"/>
      </tp>
      <tp t="s">
        <v>—</v>
        <stp/>
        <stp>##V3_BDHV12</stp>
        <stp>AMZN US Equity</stp>
        <stp>CF_CHANGE_IN_ACCOUNTS_PAYABLE</stp>
        <stp>FQ4 2005</stp>
        <stp>FQ4 2005</stp>
        <stp>[FA1_j2ahgkxc.xlsx]Cash Flow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4"/>
      </tp>
      <tp t="s">
        <v>—</v>
        <stp/>
        <stp>##V3_BDHV12</stp>
        <stp>AMZN US Equity</stp>
        <stp>CF_CHANGE_IN_ACCOUNTS_PAYABLE</stp>
        <stp>FQ4 2006</stp>
        <stp>FQ4 2006</stp>
        <stp>[FA1_j2ahgkxc.xlsx]Cash Flow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4"/>
      </tp>
      <tp>
        <v>63</v>
        <stp/>
        <stp>##V3_BDHV12</stp>
        <stp>AMZN US Equity</stp>
        <stp>CF_DEPR_AMORT</stp>
        <stp>FQ4 2007</stp>
        <stp>FQ4 2007</stp>
        <stp>[FA1_j2ahgkxc.xlsx]Cash Flow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4"/>
      </tp>
      <tp>
        <v>-151.72399999999999</v>
        <stp/>
        <stp>##V3_BDHV12</stp>
        <stp>AMZN US Equity</stp>
        <stp>IS_OPER_INC</stp>
        <stp>FQ3 2000</stp>
        <stp>FQ3 2000</stp>
        <stp>[FA1_j2ahgkxc.xlsx]Income - Adjusted!R12C9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220.64599999999999</v>
        <stp/>
        <stp>##V3_BDHV12</stp>
        <stp>AMZN US Equity</stp>
        <stp>INVTRY_FINISHED_GOODS</stp>
        <stp>FQ4 1999</stp>
        <stp>FQ4 1999</stp>
        <stp>[FA1_j2ahgkxc.xlsx]Bal Sheet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3"/>
      </tp>
      <tp t="s">
        <v>—</v>
        <stp/>
        <stp>##V3_BDHV12</stp>
        <stp>AMZN US Equity</stp>
        <stp>CF_STOCK_BASED_COMPENSATION</stp>
        <stp>FQ2 2008</stp>
        <stp>FQ2 2008</stp>
        <stp>[FA1_j2ahgkxc.xlsx]Cash Flow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4"/>
      </tp>
      <tp>
        <v>45.235999999999997</v>
        <stp/>
        <stp>##V3_BDHV12</stp>
        <stp>AMZN US Equity</stp>
        <stp>INVTRY_FINISHED_GOODS</stp>
        <stp>FQ1 1999</stp>
        <stp>FQ1 1999</stp>
        <stp>[FA1_j2ahgkxc.xlsx]Bal Sheet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118.79300000000001</v>
        <stp/>
        <stp>##V3_BDHV12</stp>
        <stp>AMZN US Equity</stp>
        <stp>INVTRY_FINISHED_GOODS</stp>
        <stp>FQ3 1999</stp>
        <stp>FQ3 1999</stp>
        <stp>[FA1_j2ahgkxc.xlsx]Bal Sheet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-4.3700999999999999</v>
        <stp/>
        <stp>##V3_BDHV12</stp>
        <stp>AMZN US Equity</stp>
        <stp>TANG_BOOK_VAL_PER_SH</stp>
        <stp>FQ2 2001</stp>
        <stp>FQ2 2001</stp>
        <stp>[FA1_j2ahgkxc.xlsx]Per Share!R27C12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7" s="5"/>
      </tp>
      <tp>
        <v>-3.3254000000000001</v>
        <stp/>
        <stp>##V3_BDHV12</stp>
        <stp>AMZN US Equity</stp>
        <stp>TANG_BOOK_VAL_PER_SH</stp>
        <stp>FQ2 2003</stp>
        <stp>FQ2 2003</stp>
        <stp>[FA1_j2ahgkxc.xlsx]Per Share!R27C20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7" s="5"/>
      </tp>
      <tp>
        <v>29.501000000000001</v>
        <stp/>
        <stp>##V3_BDHV12</stp>
        <stp>AMZN US Equity</stp>
        <stp>INVTRY_FINISHED_GOODS</stp>
        <stp>FQ4 1998</stp>
        <stp>FQ4 1998</stp>
        <stp>[FA1_j2ahgkxc.xlsx]Bal Sheet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59.387</v>
        <stp/>
        <stp>##V3_BDHV12</stp>
        <stp>AMZN US Equity</stp>
        <stp>INVTRY_FINISHED_GOODS</stp>
        <stp>FQ2 1999</stp>
        <stp>FQ2 1999</stp>
        <stp>[FA1_j2ahgkxc.xlsx]Bal Sheet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417</v>
        <stp/>
        <stp>##V3_BDHV12</stp>
        <stp>AMZN US Equity</stp>
        <stp>BS_SH_OUT</stp>
        <stp>FQ1 2008</stp>
        <stp>FQ1 2008</stp>
        <stp>[FA1_j2ahgkxc.xlsx]Bal Sheet - Standardized!R59C39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9" s="3"/>
      </tp>
      <tp t="s">
        <v>—</v>
        <stp/>
        <stp>##V3_BDHV12</stp>
        <stp>AMZN US Equity</stp>
        <stp>CF_STOCK_BASED_COMPENSATION</stp>
        <stp>FQ4 2003</stp>
        <stp>FQ4 2003</stp>
        <stp>[FA1_j2ahgkxc.xlsx]Cash Flow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4"/>
      </tp>
      <tp t="s">
        <v>—</v>
        <stp/>
        <stp>##V3_BDHV12</stp>
        <stp>AMZN US Equity</stp>
        <stp>CF_STOCK_BASED_COMPENSATION</stp>
        <stp>FQ4 2004</stp>
        <stp>FQ4 2004</stp>
        <stp>[FA1_j2ahgkxc.xlsx]Cash Flow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4"/>
      </tp>
      <tp>
        <v>57.82</v>
        <stp/>
        <stp>##V3_BDHV12</stp>
        <stp>AMZN US Equity</stp>
        <stp>PX_HIGH</stp>
        <stp>FQ1 2004</stp>
        <stp>FQ1 2004</stp>
        <stp>[FA1_j2ahgkxc.xlsx]Stock Value!R9C23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9" s="6"/>
      </tp>
      <tp>
        <v>17.420000000000002</v>
        <stp/>
        <stp>##V3_BDHV12</stp>
        <stp>AMZN US Equity</stp>
        <stp>PX_HIGH</stp>
        <stp>FQ3 2001</stp>
        <stp>FQ3 2001</stp>
        <stp>[FA1_j2ahgkxc.xlsx]Stock Value!R9C13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9" s="6"/>
      </tp>
      <tp>
        <v>38.619999999999997</v>
        <stp/>
        <stp>##V3_BDHV12</stp>
        <stp>AMZN US Equity</stp>
        <stp>PX_HIGH</stp>
        <stp>FQ3 2006</stp>
        <stp>FQ3 2006</stp>
        <stp>[FA1_j2ahgkxc.xlsx]Stock Value!R9C33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9" s="6"/>
      </tp>
      <tp>
        <v>72.239999999999995</v>
        <stp/>
        <stp>##V3_BDHV12</stp>
        <stp>AMZN US Equity</stp>
        <stp>PX_OPEN</stp>
        <stp>FQ3 2008</stp>
        <stp>FQ3 2008</stp>
        <stp>[FA1_j2ahgkxc.xlsx]Stock Value!R8C41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6"/>
      </tp>
      <tp>
        <v>0.48</v>
        <stp/>
        <stp>##V3_BDHV12</stp>
        <stp>AMZN US Equity</stp>
        <stp>IS_DIL_EPS_BEF_XO</stp>
        <stp>FQ4 2007</stp>
        <stp>FQ4 2007</stp>
        <stp>[FA1_j2ahgkxc.xlsx]Per Share!R18C38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8" s="5"/>
      </tp>
      <tp>
        <v>36.33</v>
        <stp/>
        <stp>##V3_BDHV12</stp>
        <stp>AMZN US Equity</stp>
        <stp>PX_OPEN</stp>
        <stp>FQ3 2003</stp>
        <stp>FQ3 2003</stp>
        <stp>[FA1_j2ahgkxc.xlsx]Stock Value!R8C21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6"/>
      </tp>
      <tp>
        <v>47.47</v>
        <stp/>
        <stp>##V3_BDHV12</stp>
        <stp>AMZN US Equity</stp>
        <stp>PX_OPEN</stp>
        <stp>FQ1 2006</stp>
        <stp>FQ1 2006</stp>
        <stp>[FA1_j2ahgkxc.xlsx]Stock Value!R8C31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6"/>
      </tp>
      <tp>
        <v>15.813000000000001</v>
        <stp/>
        <stp>##V3_BDHV12</stp>
        <stp>AMZN US Equity</stp>
        <stp>PX_OPEN</stp>
        <stp>FQ1 2001</stp>
        <stp>FQ1 2001</stp>
        <stp>[FA1_j2ahgkxc.xlsx]Stock Value!R8C11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6"/>
      </tp>
      <tp>
        <v>22</v>
        <stp/>
        <stp>##V3_BDHV12</stp>
        <stp>AMZN US Equity</stp>
        <stp>NI_INCLUDING_MINORITY_INT_RATIO</stp>
        <stp>FQ2 2006</stp>
        <stp>FQ2 2006</stp>
        <stp>[FA1_j2ahgkxc.xlsx]Income - Adjusted!R24C32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4" s="2"/>
      </tp>
      <tp>
        <v>-93.552999999999997</v>
        <stp/>
        <stp>##V3_BDHV12</stp>
        <stp>AMZN US Equity</stp>
        <stp>NI_INCLUDING_MINORITY_INT_RATIO</stp>
        <stp>FQ2 2002</stp>
        <stp>FQ2 2002</stp>
        <stp>[FA1_j2ahgkxc.xlsx]Income - Adjusted!R24C16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4" s="2"/>
      </tp>
      <tp t="s">
        <v>—</v>
        <stp/>
        <stp>##V3_BDHV12</stp>
        <stp>AMZN US Equity</stp>
        <stp>BS_OPTIONS_OUTSTANDING</stp>
        <stp>FQ3 2004</stp>
        <stp>FQ3 2004</stp>
        <stp>[FA1_j2ahgkxc.xlsx]Bal Sheet - Standardized!R64C25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4" s="3"/>
      </tp>
      <tp t="s">
        <v>—</v>
        <stp/>
        <stp>##V3_BDHV12</stp>
        <stp>AMZN US Equity</stp>
        <stp>BS_OPTIONS_OUTSTANDING</stp>
        <stp>FQ2 2004</stp>
        <stp>FQ2 2004</stp>
        <stp>[FA1_j2ahgkxc.xlsx]Bal Sheet - Standardized!R64C24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4" s="3"/>
      </tp>
      <tp t="s">
        <v>—</v>
        <stp/>
        <stp>##V3_BDHV12</stp>
        <stp>AMZN US Equity</stp>
        <stp>IS_SELLING_EXPENSES</stp>
        <stp>FQ2 2005</stp>
        <stp>FQ2 2005</stp>
        <stp>[FA1_j2ahgkxc.xlsx]Income - Adjusted!R11C28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1" s="2"/>
      </tp>
      <tp>
        <v>73.153999999999996</v>
        <stp/>
        <stp>##V3_BDHV12</stp>
        <stp>AMZN US Equity</stp>
        <stp>EARN_FOR_COMMON</stp>
        <stp>FQ4 2003</stp>
        <stp>FQ4 2003</stp>
        <stp>[FA1_j2ahgkxc.xlsx]Income - Adjusted!R29C22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9" s="2"/>
      </tp>
      <tp>
        <v>54.146999999999998</v>
        <stp/>
        <stp>##V3_BDHV12</stp>
        <stp>AMZN US Equity</stp>
        <stp>EARN_FOR_COMMON</stp>
        <stp>FQ3 2004</stp>
        <stp>FQ3 2004</stp>
        <stp>[FA1_j2ahgkxc.xlsx]Income - Adjusted!R29C25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9" s="2"/>
      </tp>
      <tp>
        <v>78</v>
        <stp/>
        <stp>##V3_BDHV12</stp>
        <stp>AMZN US Equity</stp>
        <stp>EARN_FOR_COMMON</stp>
        <stp>FQ2 2007</stp>
        <stp>FQ2 2007</stp>
        <stp>[FA1_j2ahgkxc.xlsx]Income - Adjusted!R29C36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9" s="2"/>
      </tp>
      <tp>
        <v>143</v>
        <stp/>
        <stp>##V3_BDHV12</stp>
        <stp>AMZN US Equity</stp>
        <stp>EARN_FOR_COMMON</stp>
        <stp>FQ1 2008</stp>
        <stp>FQ1 2008</stp>
        <stp>[FA1_j2ahgkxc.xlsx]Income - Adjusted!R29C39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9" s="2"/>
      </tp>
      <tp>
        <v>-0.255</v>
        <stp/>
        <stp>##V3_BDHV12</stp>
        <stp>AMZN US Equity</stp>
        <stp>IS_DIL_EPS_CONT_OPS</stp>
        <stp>FQ2 1999</stp>
        <stp>FQ2 1999</stp>
        <stp>[FA1_j2ahgkxc.xlsx]Income - Adjusted!R42C5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2" s="2"/>
      </tp>
      <tp>
        <v>0.05</v>
        <stp/>
        <stp>##V3_BDHV12</stp>
        <stp>AMZN US Equity</stp>
        <stp>IS_EARN_BEF_XO_ITEMS_PER_SH</stp>
        <stp>FQ2 2006</stp>
        <stp>FQ2 2006</stp>
        <stp>[FA1_j2ahgkxc.xlsx]Per Share!R15C32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5" s="5"/>
      </tp>
      <tp>
        <v>-0.25</v>
        <stp/>
        <stp>##V3_BDHV12</stp>
        <stp>AMZN US Equity</stp>
        <stp>IS_EARN_BEF_XO_ITEMS_PER_SH</stp>
        <stp>FQ2 2002</stp>
        <stp>FQ2 2002</stp>
        <stp>[FA1_j2ahgkxc.xlsx]Per Share!R15C16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5" s="5"/>
      </tp>
      <tp t="s">
        <v>—</v>
        <stp/>
        <stp>##V3_BDHV12</stp>
        <stp>AMZN US Equity</stp>
        <stp>NUM_OF_EMPLOYEES</stp>
        <stp>FQ4 2003</stp>
        <stp>FQ4 2003</stp>
        <stp>[FA1_j2ahgkxc.xlsx]Bal Sheet - Standardized!R70C22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0" s="3"/>
      </tp>
      <tp>
        <v>18.187999999999999</v>
        <stp/>
        <stp>##V3_BDHV12</stp>
        <stp>AMZN US Equity</stp>
        <stp>FREE_CASH_FLOW_EQUITY</stp>
        <stp>FQ3 2003</stp>
        <stp>FQ3 2003</stp>
        <stp>[FA1_j2ahgkxc.xlsx]Cash Flow - Standardized!R51C21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1" s="4"/>
      </tp>
      <tp>
        <v>14.406000000000001</v>
        <stp/>
        <stp>##V3_BDHV12</stp>
        <stp>AMZN US Equity</stp>
        <stp>BS_ST_BORROW</stp>
        <stp>FQ2 2002</stp>
        <stp>FQ2 2002</stp>
        <stp>[FA1_j2ahgkxc.xlsx]Bal Sheet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3"/>
      </tp>
      <tp>
        <v>2.4729999999999999</v>
        <stp/>
        <stp>##V3_BDHV12</stp>
        <stp>AMZN US Equity</stp>
        <stp>BS_ST_BORROW</stp>
        <stp>FQ1 2004</stp>
        <stp>FQ1 2004</stp>
        <stp>[FA1_j2ahgkxc.xlsx]Bal Sheet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3"/>
      </tp>
      <tp>
        <v>223</v>
        <stp/>
        <stp>##V3_BDHV12</stp>
        <stp>AMZN US Equity</stp>
        <stp>FREE_CASH_FLOW_EQUITY</stp>
        <stp>FQ2 2007</stp>
        <stp>FQ2 2007</stp>
        <stp>[FA1_j2ahgkxc.xlsx]Cash Flow - Standardized!R51C36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1" s="4"/>
      </tp>
      <tp>
        <v>87.373000000000005</v>
        <stp/>
        <stp>##V3_BDHV12</stp>
        <stp>AMZN US Equity</stp>
        <stp>FREE_CASH_FLOW_EQUITY</stp>
        <stp>FQ3 2004</stp>
        <stp>FQ3 2004</stp>
        <stp>[FA1_j2ahgkxc.xlsx]Cash Flow - Standardized!R51C25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1" s="4"/>
      </tp>
      <tp>
        <v>82</v>
        <stp/>
        <stp>##V3_BDHV12</stp>
        <stp>AMZN US Equity</stp>
        <stp>PROC_FR_REPURCH_EQTY_DETAILED</stp>
        <stp>FQ4 2006</stp>
        <stp>FQ4 2006</stp>
        <stp>[FA1_j2ahgkxc.xlsx]Cash Flow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4"/>
      </tp>
      <tp>
        <v>25</v>
        <stp/>
        <stp>##V3_BDHV12</stp>
        <stp>AMZN US Equity</stp>
        <stp>PROC_FR_REPURCH_EQTY_DETAILED</stp>
        <stp>FQ4 2005</stp>
        <stp>FQ4 2005</stp>
        <stp>[FA1_j2ahgkxc.xlsx]Cash Flow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4"/>
      </tp>
      <tp>
        <v>2</v>
        <stp/>
        <stp>##V3_BDHV12</stp>
        <stp>AMZN US Equity</stp>
        <stp>BS_ST_BORROW</stp>
        <stp>FQ1 2005</stp>
        <stp>FQ1 2005</stp>
        <stp>[FA1_j2ahgkxc.xlsx]Bal Sheet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3"/>
      </tp>
      <tp>
        <v>6</v>
        <stp/>
        <stp>##V3_BDHV12</stp>
        <stp>AMZN US Equity</stp>
        <stp>TOTAL_EQUITY</stp>
        <stp>FQ3 2005</stp>
        <stp>FQ3 2005</stp>
        <stp>[FA1_j2ahgkxc.xlsx]Bal Sheet - Standardized!R54C29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4" s="3"/>
      </tp>
      <tp>
        <v>117</v>
        <stp/>
        <stp>##V3_BDHV12</stp>
        <stp>AMZN US Equity</stp>
        <stp>FREE_CASH_FLOW_EQUITY</stp>
        <stp>FQ2 2006</stp>
        <stp>FQ2 2006</stp>
        <stp>[FA1_j2ahgkxc.xlsx]Cash Flow - Standardized!R51C32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1" s="4"/>
      </tp>
      <tp>
        <v>18.337</v>
        <stp/>
        <stp>##V3_BDHV12</stp>
        <stp>AMZN US Equity</stp>
        <stp>BS_ST_BORROW</stp>
        <stp>FQ2 2001</stp>
        <stp>FQ2 2001</stp>
        <stp>[FA1_j2ahgkxc.xlsx]Bal Sheet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3"/>
      </tp>
      <tp>
        <v>0</v>
        <stp/>
        <stp>##V3_BDHV12</stp>
        <stp>AMZN US Equity</stp>
        <stp>BS_OTHER_INV</stp>
        <stp>FQ2 2001</stp>
        <stp>FQ2 2001</stp>
        <stp>[FA1_j2ahgkxc.xlsx]Bal Sheet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3"/>
      </tp>
      <tp>
        <v>-1158.0338999999999</v>
        <stp/>
        <stp>##V3_BDHV12</stp>
        <stp>AMZN US Equity</stp>
        <stp>TOTAL_EQUITY</stp>
        <stp>FQ3 2003</stp>
        <stp>FQ3 2003</stp>
        <stp>[FA1_j2ahgkxc.xlsx]Bal Sheet - Standardized!R54C21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4" s="3"/>
      </tp>
      <tp>
        <v>0</v>
        <stp/>
        <stp>##V3_BDHV12</stp>
        <stp>AMZN US Equity</stp>
        <stp>BS_OTHER_INV</stp>
        <stp>FQ1 2005</stp>
        <stp>FQ1 2005</stp>
        <stp>[FA1_j2ahgkxc.xlsx]Bal Sheet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3"/>
      </tp>
      <tp>
        <v>550</v>
        <stp/>
        <stp>##V3_BDHV12</stp>
        <stp>AMZN US Equity</stp>
        <stp>TOTAL_EQUITY</stp>
        <stp>FQ2 2007</stp>
        <stp>FQ2 2007</stp>
        <stp>[FA1_j2ahgkxc.xlsx]Bal Sheet - Standardized!R54C36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4" s="3"/>
      </tp>
      <tp>
        <v>-721.07680000000005</v>
        <stp/>
        <stp>##V3_BDHV12</stp>
        <stp>AMZN US Equity</stp>
        <stp>TOTAL_EQUITY</stp>
        <stp>FQ3 2004</stp>
        <stp>FQ3 2004</stp>
        <stp>[FA1_j2ahgkxc.xlsx]Bal Sheet - Standardized!R54C25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4" s="3"/>
      </tp>
      <tp>
        <v>84</v>
        <stp/>
        <stp>##V3_BDHV12</stp>
        <stp>AMZN US Equity</stp>
        <stp>FREE_CASH_FLOW_EQUITY</stp>
        <stp>FQ3 2005</stp>
        <stp>FQ3 2005</stp>
        <stp>[FA1_j2ahgkxc.xlsx]Cash Flow - Standardized!R51C29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1" s="4"/>
      </tp>
      <tp>
        <v>176</v>
        <stp/>
        <stp>##V3_BDHV12</stp>
        <stp>AMZN US Equity</stp>
        <stp>PROC_FR_REPURCH_EQTY_DETAILED</stp>
        <stp>FQ4 2007</stp>
        <stp>FQ4 2007</stp>
        <stp>[FA1_j2ahgkxc.xlsx]Cash Flow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4"/>
      </tp>
      <tp>
        <v>0.27</v>
        <stp/>
        <stp>##V3_BDHV12</stp>
        <stp>AMZN US Equity</stp>
        <stp>IS_DIL_EPS_CONT_OPS</stp>
        <stp>FQ2 2008</stp>
        <stp>FQ2 2008</stp>
        <stp>[FA1_j2ahgkxc.xlsx]Income - Adjusted!R42C40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2" s="2"/>
      </tp>
      <tp>
        <v>55</v>
        <stp/>
        <stp>##V3_BDHV12</stp>
        <stp>AMZN US Equity</stp>
        <stp>PROC_FR_REPURCH_EQTY_DETAILED</stp>
        <stp>FQ3 2008</stp>
        <stp>FQ3 2008</stp>
        <stp>[FA1_j2ahgkxc.xlsx]Cash Flow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4"/>
      </tp>
      <tp>
        <v>0</v>
        <stp/>
        <stp>##V3_BDHV12</stp>
        <stp>AMZN US Equity</stp>
        <stp>BS_OTHER_INV</stp>
        <stp>FQ1 2004</stp>
        <stp>FQ1 2004</stp>
        <stp>[FA1_j2ahgkxc.xlsx]Bal Sheet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3"/>
      </tp>
      <tp>
        <v>0</v>
        <stp/>
        <stp>##V3_BDHV12</stp>
        <stp>AMZN US Equity</stp>
        <stp>BS_OTHER_INV</stp>
        <stp>FQ2 2002</stp>
        <stp>FQ2 2002</stp>
        <stp>[FA1_j2ahgkxc.xlsx]Bal Sheet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3"/>
      </tp>
      <tp>
        <v>383</v>
        <stp/>
        <stp>##V3_BDHV12</stp>
        <stp>AMZN US Equity</stp>
        <stp>TOTAL_EQUITY</stp>
        <stp>FQ2 2006</stp>
        <stp>FQ2 2006</stp>
        <stp>[FA1_j2ahgkxc.xlsx]Bal Sheet - Standardized!R54C32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4" s="3"/>
      </tp>
      <tp>
        <v>18.338000000000001</v>
        <stp/>
        <stp>##V3_BDHV12</stp>
        <stp>AMZN US Equity</stp>
        <stp>CF_DEPR_AMORT</stp>
        <stp>FQ3 2003</stp>
        <stp>FQ3 2003</stp>
        <stp>[FA1_j2ahgkxc.xlsx]Cash Flow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4"/>
      </tp>
      <tp>
        <v>20.831</v>
        <stp/>
        <stp>##V3_BDHV12</stp>
        <stp>AMZN US Equity</stp>
        <stp>CF_DEPR_AMORT</stp>
        <stp>FQ4 2004</stp>
        <stp>FQ4 2004</stp>
        <stp>[FA1_j2ahgkxc.xlsx]Cash Flow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4"/>
      </tp>
      <tp>
        <v>19.003</v>
        <stp/>
        <stp>##V3_BDHV12</stp>
        <stp>AMZN US Equity</stp>
        <stp>CF_DEPR_AMORT</stp>
        <stp>FQ2 2003</stp>
        <stp>FQ2 2003</stp>
        <stp>[FA1_j2ahgkxc.xlsx]Cash Flow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4"/>
      </tp>
      <tp>
        <v>17.681000000000001</v>
        <stp/>
        <stp>##V3_BDHV12</stp>
        <stp>AMZN US Equity</stp>
        <stp>CF_DEPR_AMORT</stp>
        <stp>FQ1 2004</stp>
        <stp>FQ1 2004</stp>
        <stp>[FA1_j2ahgkxc.xlsx]Cash Flow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4"/>
      </tp>
      <tp t="s">
        <v>—</v>
        <stp/>
        <stp>##V3_BDHV12</stp>
        <stp>AMZN US Equity</stp>
        <stp>CF_CHANGE_IN_ACCOUNTS_PAYABLE</stp>
        <stp>FQ2 2008</stp>
        <stp>FQ2 2008</stp>
        <stp>[FA1_j2ahgkxc.xlsx]Cash Flow - Standardized!R16C40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6" s="4"/>
      </tp>
      <tp>
        <v>-0.15</v>
        <stp/>
        <stp>##V3_BDHV12</stp>
        <stp>AMZN US Equity</stp>
        <stp>IS_DILUTED_EPS</stp>
        <stp>FQ4 1998</stp>
        <stp>FQ4 1998</stp>
        <stp>[FA1_j2ahgkxc.xlsx]Per Share!R17C3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7" s="5"/>
      </tp>
      <tp>
        <v>18.129000000000001</v>
        <stp/>
        <stp>##V3_BDHV12</stp>
        <stp>AMZN US Equity</stp>
        <stp>CF_DEPR_AMORT</stp>
        <stp>FQ2 2004</stp>
        <stp>FQ2 2004</stp>
        <stp>[FA1_j2ahgkxc.xlsx]Cash Flow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4"/>
      </tp>
      <tp>
        <v>18.608000000000001</v>
        <stp/>
        <stp>##V3_BDHV12</stp>
        <stp>AMZN US Equity</stp>
        <stp>CF_DEPR_AMORT</stp>
        <stp>FQ4 2003</stp>
        <stp>FQ4 2003</stp>
        <stp>[FA1_j2ahgkxc.xlsx]Cash Flow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4"/>
      </tp>
      <tp>
        <v>19.082999999999998</v>
        <stp/>
        <stp>##V3_BDHV12</stp>
        <stp>AMZN US Equity</stp>
        <stp>CF_DEPR_AMORT</stp>
        <stp>FQ3 2004</stp>
        <stp>FQ3 2004</stp>
        <stp>[FA1_j2ahgkxc.xlsx]Cash Flow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4"/>
      </tp>
      <tp>
        <v>28</v>
        <stp/>
        <stp>##V3_BDHV12</stp>
        <stp>AMZN US Equity</stp>
        <stp>CF_DEPR_AMORT</stp>
        <stp>FQ1 2005</stp>
        <stp>FQ1 2005</stp>
        <stp>[FA1_j2ahgkxc.xlsx]Cash Flow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4"/>
      </tp>
      <tp>
        <v>30</v>
        <stp/>
        <stp>##V3_BDHV12</stp>
        <stp>AMZN US Equity</stp>
        <stp>CF_DEPR_AMORT</stp>
        <stp>FQ3 2005</stp>
        <stp>FQ3 2005</stp>
        <stp>[FA1_j2ahgkxc.xlsx]Cash Flow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4"/>
      </tp>
      <tp>
        <v>26</v>
        <stp/>
        <stp>##V3_BDHV12</stp>
        <stp>AMZN US Equity</stp>
        <stp>CF_DEPR_AMORT</stp>
        <stp>FQ2 2005</stp>
        <stp>FQ2 2005</stp>
        <stp>[FA1_j2ahgkxc.xlsx]Cash Flow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4"/>
      </tp>
      <tp t="s">
        <v>—</v>
        <stp/>
        <stp>##V3_BDHV12</stp>
        <stp>AMZN US Equity</stp>
        <stp>CF_CHANGE_IN_ACCOUNTS_PAYABLE</stp>
        <stp>FQ4 2004</stp>
        <stp>FQ4 2004</stp>
        <stp>[FA1_j2ahgkxc.xlsx]Cash Flow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4"/>
      </tp>
      <tp t="s">
        <v>—</v>
        <stp/>
        <stp>##V3_BDHV12</stp>
        <stp>AMZN US Equity</stp>
        <stp>CF_CHANGE_IN_ACCOUNTS_PAYABLE</stp>
        <stp>FQ4 2003</stp>
        <stp>FQ4 2003</stp>
        <stp>[FA1_j2ahgkxc.xlsx]Cash Flow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4"/>
      </tp>
      <tp>
        <v>373.21800000000002</v>
        <stp/>
        <stp>##V3_BDHV12</stp>
        <stp>AMZN US Equity</stp>
        <stp>BS_SH_OUT</stp>
        <stp>FQ4 2001</stp>
        <stp>FQ4 2001</stp>
        <stp>[FA1_j2ahgkxc.xlsx]Bal Sheet - Standardized!R59C14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9" s="3"/>
      </tp>
      <tp>
        <v>358.84699999999998</v>
        <stp/>
        <stp>##V3_BDHV12</stp>
        <stp>AMZN US Equity</stp>
        <stp>BS_SH_OUT</stp>
        <stp>FQ1 2001</stp>
        <stp>FQ1 2001</stp>
        <stp>[FA1_j2ahgkxc.xlsx]Bal Sheet - Standardized!R59C11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9" s="3"/>
      </tp>
      <tp>
        <v>362.19099999999997</v>
        <stp/>
        <stp>##V3_BDHV12</stp>
        <stp>AMZN US Equity</stp>
        <stp>BS_SH_OUT</stp>
        <stp>FQ2 2001</stp>
        <stp>FQ2 2001</stp>
        <stp>[FA1_j2ahgkxc.xlsx]Bal Sheet - Standardized!R59C12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9" s="3"/>
      </tp>
      <tp>
        <v>371.76600000000002</v>
        <stp/>
        <stp>##V3_BDHV12</stp>
        <stp>AMZN US Equity</stp>
        <stp>BS_SH_OUT</stp>
        <stp>FQ3 2001</stp>
        <stp>FQ3 2001</stp>
        <stp>[FA1_j2ahgkxc.xlsx]Bal Sheet - Standardized!R59C13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9" s="3"/>
      </tp>
      <tp>
        <v>-109</v>
        <stp/>
        <stp>##V3_BDHV12</stp>
        <stp>AMZN US Equity</stp>
        <stp>CF_STOCK_BASED_COMPENSATION</stp>
        <stp>FQ4 2007</stp>
        <stp>FQ4 2007</stp>
        <stp>[FA1_j2ahgkxc.xlsx]Cash Flow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4"/>
      </tp>
      <tp>
        <v>400.42200000000003</v>
        <stp/>
        <stp>##V3_BDHV12</stp>
        <stp>AMZN US Equity</stp>
        <stp>BS_SH_OUT</stp>
        <stp>FQ3 2003</stp>
        <stp>FQ3 2003</stp>
        <stp>[FA1_j2ahgkxc.xlsx]Bal Sheet - Standardized!R59C21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9" s="3"/>
      </tp>
      <tp>
        <v>396.73</v>
        <stp/>
        <stp>##V3_BDHV12</stp>
        <stp>AMZN US Equity</stp>
        <stp>BS_SH_OUT</stp>
        <stp>FQ2 2003</stp>
        <stp>FQ2 2003</stp>
        <stp>[FA1_j2ahgkxc.xlsx]Bal Sheet - Standardized!R59C20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9" s="3"/>
      </tp>
      <tp t="s">
        <v>—</v>
        <stp/>
        <stp>##V3_BDHV12</stp>
        <stp>AMZN US Equity</stp>
        <stp>CF_STOCK_BASED_COMPENSATION</stp>
        <stp>FQ3 2008</stp>
        <stp>FQ3 2008</stp>
        <stp>[FA1_j2ahgkxc.xlsx]Cash Flow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4"/>
      </tp>
      <tp>
        <v>0.56999999999999995</v>
        <stp/>
        <stp>##V3_BDHV12</stp>
        <stp>AMZN US Equity</stp>
        <stp>TANG_BOOK_VAL_PER_SH</stp>
        <stp>FQ4 2006</stp>
        <stp>FQ4 2006</stp>
        <stp>[FA1_j2ahgkxc.xlsx]Per Share!R27C34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7" s="5"/>
      </tp>
      <tp>
        <v>-0.89380000000000004</v>
        <stp/>
        <stp>##V3_BDHV12</stp>
        <stp>AMZN US Equity</stp>
        <stp>TANG_BOOK_VAL_PER_SH</stp>
        <stp>FQ4 2004</stp>
        <stp>FQ4 2004</stp>
        <stp>[FA1_j2ahgkxc.xlsx]Per Share!R27C26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7" s="5"/>
      </tp>
      <tp>
        <v>-3.0663</v>
        <stp/>
        <stp>##V3_BDHV12</stp>
        <stp>AMZN US Equity</stp>
        <stp>TANG_BOOK_VAL_PER_SH</stp>
        <stp>FQ3 2003</stp>
        <stp>FQ3 2003</stp>
        <stp>[FA1_j2ahgkxc.xlsx]Per Share!R27C21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7" s="5"/>
      </tp>
      <tp>
        <v>-4.2097999999999995</v>
        <stp/>
        <stp>##V3_BDHV12</stp>
        <stp>AMZN US Equity</stp>
        <stp>TANG_BOOK_VAL_PER_SH</stp>
        <stp>FQ3 2001</stp>
        <stp>FQ3 2001</stp>
        <stp>[FA1_j2ahgkxc.xlsx]Per Share!R27C13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7" s="5"/>
      </tp>
      <tp>
        <v>0.38390000000000002</v>
        <stp/>
        <stp>##V3_BDHV12</stp>
        <stp>AMZN US Equity</stp>
        <stp>TANG_BOOK_VAL_PER_SH</stp>
        <stp>FQ1 2007</stp>
        <stp>FQ1 2007</stp>
        <stp>[FA1_j2ahgkxc.xlsx]Per Share!R27C35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7" s="5"/>
      </tp>
      <tp>
        <v>-0.78759999999999997</v>
        <stp/>
        <stp>##V3_BDHV12</stp>
        <stp>AMZN US Equity</stp>
        <stp>TANG_BOOK_VAL_PER_SH</stp>
        <stp>FQ1 2005</stp>
        <stp>FQ1 2005</stp>
        <stp>[FA1_j2ahgkxc.xlsx]Per Share!R27C27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7" s="5"/>
      </tp>
      <tp>
        <v>416</v>
        <stp/>
        <stp>##V3_BDHV12</stp>
        <stp>AMZN US Equity</stp>
        <stp>BS_SH_OUT</stp>
        <stp>FQ4 2005</stp>
        <stp>FQ4 2005</stp>
        <stp>[FA1_j2ahgkxc.xlsx]Bal Sheet - Standardized!R59C30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9" s="3"/>
      </tp>
      <tp t="s">
        <v>—</v>
        <stp/>
        <stp>##V3_BDHV12</stp>
        <stp>AMZN US Equity</stp>
        <stp>CF_STOCK_BASED_COMPENSATION</stp>
        <stp>FQ4 2005</stp>
        <stp>FQ4 2005</stp>
        <stp>[FA1_j2ahgkxc.xlsx]Cash Flow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4"/>
      </tp>
      <tp t="s">
        <v>—</v>
        <stp/>
        <stp>##V3_BDHV12</stp>
        <stp>AMZN US Equity</stp>
        <stp>CF_STOCK_BASED_COMPENSATION</stp>
        <stp>FQ4 2006</stp>
        <stp>FQ4 2006</stp>
        <stp>[FA1_j2ahgkxc.xlsx]Cash Flow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4"/>
      </tp>
      <tp>
        <v>41.24</v>
        <stp/>
        <stp>##V3_BDHV12</stp>
        <stp>AMZN US Equity</stp>
        <stp>PX_OPEN</stp>
        <stp>FQ4 2004</stp>
        <stp>FQ4 2004</stp>
        <stp>[FA1_j2ahgkxc.xlsx]Stock Value!R8C26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6"/>
      </tp>
      <tp>
        <v>54.7</v>
        <stp/>
        <stp>##V3_BDHV12</stp>
        <stp>AMZN US Equity</stp>
        <stp>PX_HIGH</stp>
        <stp>FQ2 2004</stp>
        <stp>FQ2 2004</stp>
        <stp>[FA1_j2ahgkxc.xlsx]Stock Value!R9C24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9" s="6"/>
      </tp>
      <tp>
        <v>39.85</v>
        <stp/>
        <stp>##V3_BDHV12</stp>
        <stp>AMZN US Equity</stp>
        <stp>PX_OPEN</stp>
        <stp>FQ2 2007</stp>
        <stp>FQ2 2007</stp>
        <stp>[FA1_j2ahgkxc.xlsx]Stock Value!R8C36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6"/>
      </tp>
      <tp>
        <v>14.28</v>
        <stp/>
        <stp>##V3_BDHV12</stp>
        <stp>AMZN US Equity</stp>
        <stp>PX_OPEN</stp>
        <stp>FQ2 2002</stp>
        <stp>FQ2 2002</stp>
        <stp>[FA1_j2ahgkxc.xlsx]Stock Value!R8C16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6"/>
      </tp>
      <tp>
        <v>43.25</v>
        <stp/>
        <stp>##V3_BDHV12</stp>
        <stp>AMZN US Equity</stp>
        <stp>PX_HIGH</stp>
        <stp>FQ4 2006</stp>
        <stp>FQ4 2006</stp>
        <stp>[FA1_j2ahgkxc.xlsx]Stock Value!R9C34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9" s="6"/>
      </tp>
      <tp>
        <v>0.37</v>
        <stp/>
        <stp>##V3_BDHV12</stp>
        <stp>AMZN US Equity</stp>
        <stp>IS_DIL_EPS_BEF_XO</stp>
        <stp>FQ2 2008</stp>
        <stp>FQ2 2008</stp>
        <stp>[FA1_j2ahgkxc.xlsx]Per Share!R18C40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8" s="5"/>
      </tp>
      <tp>
        <v>12.801</v>
        <stp/>
        <stp>##V3_BDHV12</stp>
        <stp>AMZN US Equity</stp>
        <stp>PX_HIGH</stp>
        <stp>FQ4 2001</stp>
        <stp>FQ4 2001</stp>
        <stp>[FA1_j2ahgkxc.xlsx]Stock Value!R9C14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9" s="6"/>
      </tp>
      <tp>
        <v>-168.35900000000001</v>
        <stp/>
        <stp>##V3_BDHV12</stp>
        <stp>AMZN US Equity</stp>
        <stp>NI_INCLUDING_MINORITY_INT_RATIO</stp>
        <stp>FQ2 2001</stp>
        <stp>FQ2 2001</stp>
        <stp>[FA1_j2ahgkxc.xlsx]Income - Adjusted!R24C12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4" s="2"/>
      </tp>
      <tp>
        <v>-43.314</v>
        <stp/>
        <stp>##V3_BDHV12</stp>
        <stp>AMZN US Equity</stp>
        <stp>NI_INCLUDING_MINORITY_INT_RATIO</stp>
        <stp>FQ2 2003</stp>
        <stp>FQ2 2003</stp>
        <stp>[FA1_j2ahgkxc.xlsx]Income - Adjusted!R24C20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4" s="2"/>
      </tp>
      <tp t="s">
        <v>—</v>
        <stp/>
        <stp>##V3_BDHV12</stp>
        <stp>AMZN US Equity</stp>
        <stp>BS_OPTIONS_OUTSTANDING</stp>
        <stp>FQ4 2003</stp>
        <stp>FQ4 2003</stp>
        <stp>[FA1_j2ahgkxc.xlsx]Bal Sheet - Standardized!R64C22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4" s="3"/>
      </tp>
      <tp t="s">
        <v>—</v>
        <stp/>
        <stp>##V3_BDHV12</stp>
        <stp>AMZN US Equity</stp>
        <stp>IS_SELLING_EXPENSES</stp>
        <stp>FQ4 2002</stp>
        <stp>FQ4 2002</stp>
        <stp>[FA1_j2ahgkxc.xlsx]Income - Adjusted!R11C18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1" s="2"/>
      </tp>
      <tp>
        <v>169</v>
        <stp/>
        <stp>##V3_BDHV12</stp>
        <stp>AMZN US Equity</stp>
        <stp>IS_SELLING_EXPENSES</stp>
        <stp>FQ4 2008</stp>
        <stp>FQ4 2008</stp>
        <stp>[FA1_j2ahgkxc.xlsx]Income - Adjusted!R11C42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1" s="2"/>
      </tp>
      <tp t="s">
        <v>—</v>
        <stp/>
        <stp>##V3_BDHV12</stp>
        <stp>AMZN US Equity</stp>
        <stp>IS_SELLING_EXPENSES</stp>
        <stp>FQ1 2003</stp>
        <stp>FQ1 2003</stp>
        <stp>[FA1_j2ahgkxc.xlsx]Income - Adjusted!R11C19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1" s="2"/>
      </tp>
      <tp>
        <v>0</v>
        <stp/>
        <stp>##V3_BDHV12</stp>
        <stp>AMZN US Equity</stp>
        <stp>MIN_NONCONTROL_INTEREST_CREDITS</stp>
        <stp>FQ3 2005</stp>
        <stp>FQ3 2005</stp>
        <stp>[FA1_j2ahgkxc.xlsx]Income - Adjusted!R25C29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5" s="2"/>
      </tp>
      <tp t="s">
        <v>—</v>
        <stp/>
        <stp>##V3_BDHV12</stp>
        <stp>AMZN US Equity</stp>
        <stp>NUM_OF_EMPLOYEES</stp>
        <stp>FQ2 2004</stp>
        <stp>FQ2 2004</stp>
        <stp>[FA1_j2ahgkxc.xlsx]Bal Sheet - Standardized!R70C24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0" s="3"/>
      </tp>
      <tp t="s">
        <v>—</v>
        <stp/>
        <stp>##V3_BDHV12</stp>
        <stp>AMZN US Equity</stp>
        <stp>NUM_OF_EMPLOYEES</stp>
        <stp>FQ3 2004</stp>
        <stp>FQ3 2004</stp>
        <stp>[FA1_j2ahgkxc.xlsx]Bal Sheet - Standardized!R70C25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0" s="3"/>
      </tp>
      <tp>
        <v>-0.11</v>
        <stp/>
        <stp>##V3_BDHV12</stp>
        <stp>AMZN US Equity</stp>
        <stp>IS_EARN_BEF_XO_ITEMS_PER_SH</stp>
        <stp>FQ2 2003</stp>
        <stp>FQ2 2003</stp>
        <stp>[FA1_j2ahgkxc.xlsx]Per Share!R15C20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5" s="5"/>
      </tp>
      <tp>
        <v>-0.47</v>
        <stp/>
        <stp>##V3_BDHV12</stp>
        <stp>AMZN US Equity</stp>
        <stp>IS_EARN_BEF_XO_ITEMS_PER_SH</stp>
        <stp>FQ2 2001</stp>
        <stp>FQ2 2001</stp>
        <stp>[FA1_j2ahgkxc.xlsx]Per Share!R15C12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5" s="5"/>
      </tp>
      <tp>
        <v>0</v>
        <stp/>
        <stp>##V3_BDHV12</stp>
        <stp>AMZN US Equity</stp>
        <stp>BS_NUM_OF_TSY_SH</stp>
        <stp>FQ1 2000</stp>
        <stp>FQ1 2000</stp>
        <stp>[FA1_j2ahgkxc.xlsx]Bal Sheet - Standardized!R60C8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0" s="3"/>
      </tp>
      <tp>
        <v>-3.4432</v>
        <stp/>
        <stp>##V3_BDHV12</stp>
        <stp>AMZN US Equity</stp>
        <stp>CHG_PCT_PERIOD</stp>
        <stp>FQ2 2005</stp>
        <stp>FQ2 2005</stp>
        <stp>[FA1_j2ahgkxc.xlsx]Stock Value!R7C28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6"/>
      </tp>
      <tp>
        <v>7.4089999999999998</v>
        <stp/>
        <stp>##V3_BDHV12</stp>
        <stp>AMZN US Equity</stp>
        <stp>PROC_FR_REPURCH_EQTY_DETAILED</stp>
        <stp>FQ1 2002</stp>
        <stp>FQ1 2002</stp>
        <stp>[FA1_j2ahgkxc.xlsx]Cash Flow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4"/>
      </tp>
      <tp>
        <v>-239</v>
        <stp/>
        <stp>##V3_BDHV12</stp>
        <stp>AMZN US Equity</stp>
        <stp>PROC_FR_REPURCH_EQTY_DETAILED</stp>
        <stp>FQ3 2006</stp>
        <stp>FQ3 2006</stp>
        <stp>[FA1_j2ahgkxc.xlsx]Cash Flow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4"/>
      </tp>
      <tp>
        <v>2230</v>
        <stp/>
        <stp>##V3_BDHV12</stp>
        <stp>AMZN US Equity</stp>
        <stp>TOTAL_EQUITY</stp>
        <stp>FQ2 2008</stp>
        <stp>FQ2 2008</stp>
        <stp>[FA1_j2ahgkxc.xlsx]Bal Sheet - Standardized!R54C40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4" s="3"/>
      </tp>
      <tp>
        <v>255.995</v>
        <stp/>
        <stp>##V3_BDHV12</stp>
        <stp>AMZN US Equity</stp>
        <stp>FREE_CASH_FLOW_EQUITY</stp>
        <stp>FQ4 2003</stp>
        <stp>FQ4 2003</stp>
        <stp>[FA1_j2ahgkxc.xlsx]Cash Flow - Standardized!R51C22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1" s="4"/>
      </tp>
      <tp>
        <v>5.8330000000000002</v>
        <stp/>
        <stp>##V3_BDHV12</stp>
        <stp>AMZN US Equity</stp>
        <stp>PROC_FR_REPURCH_EQTY_DETAILED</stp>
        <stp>FQ1 2001</stp>
        <stp>FQ1 2001</stp>
        <stp>[FA1_j2ahgkxc.xlsx]Cash Flow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4"/>
      </tp>
      <tp>
        <v>53.042000000000002</v>
        <stp/>
        <stp>##V3_BDHV12</stp>
        <stp>AMZN US Equity</stp>
        <stp>PROC_FR_REPURCH_EQTY_DETAILED</stp>
        <stp>FQ2 2003</stp>
        <stp>FQ2 2003</stp>
        <stp>[FA1_j2ahgkxc.xlsx]Cash Flow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4"/>
      </tp>
      <tp>
        <v>18.581299999999999</v>
        <stp/>
        <stp>##V3_BDHV12</stp>
        <stp>AMZN US Equity</stp>
        <stp>CHG_PCT_PERIOD</stp>
        <stp>FQ4 2002</stp>
        <stp>FQ4 2002</stp>
        <stp>[FA1_j2ahgkxc.xlsx]Stock Value!R7C18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6"/>
      </tp>
      <tp t="s">
        <v>—</v>
        <stp/>
        <stp>##V3_BDHV12</stp>
        <stp>AMZN US Equity</stp>
        <stp>CHG_PCT_PERIOD</stp>
        <stp>FQ4 2007</stp>
        <stp>FQ4 2007</stp>
        <stp>[FA1_j2ahgkxc.xlsx]Stock Value!R7C38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6"/>
      </tp>
      <tp>
        <v>69</v>
        <stp/>
        <stp>##V3_BDHV12</stp>
        <stp>AMZN US Equity</stp>
        <stp>PROC_FR_REPURCH_EQTY_DETAILED</stp>
        <stp>FQ3 2007</stp>
        <stp>FQ3 2007</stp>
        <stp>[FA1_j2ahgkxc.xlsx]Cash Flow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4"/>
      </tp>
      <tp>
        <v>520.25300000000004</v>
        <stp/>
        <stp>##V3_BDHV12</stp>
        <stp>AMZN US Equity</stp>
        <stp>FREE_CASH_FLOW_EQUITY</stp>
        <stp>FQ4 2004</stp>
        <stp>FQ4 2004</stp>
        <stp>[FA1_j2ahgkxc.xlsx]Cash Flow - Standardized!R51C26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1" s="4"/>
      </tp>
      <tp>
        <v>20.077000000000002</v>
        <stp/>
        <stp>##V3_BDHV12</stp>
        <stp>AMZN US Equity</stp>
        <stp>PROC_FR_REPURCH_EQTY_DETAILED</stp>
        <stp>FQ2 2004</stp>
        <stp>FQ2 2004</stp>
        <stp>[FA1_j2ahgkxc.xlsx]Cash Flow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4"/>
      </tp>
      <tp>
        <v>9</v>
        <stp/>
        <stp>##V3_BDHV12</stp>
        <stp>AMZN US Equity</stp>
        <stp>PROC_FR_REPURCH_EQTY_DETAILED</stp>
        <stp>FQ2 2005</stp>
        <stp>FQ2 2005</stp>
        <stp>[FA1_j2ahgkxc.xlsx]Cash Flow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4"/>
      </tp>
      <tp>
        <v>-100</v>
        <stp/>
        <stp>##V3_BDHV12</stp>
        <stp>AMZN US Equity</stp>
        <stp>PROC_FR_REPURCH_EQTY_DETAILED</stp>
        <stp>FQ4 2008</stp>
        <stp>FQ4 2008</stp>
        <stp>[FA1_j2ahgkxc.xlsx]Cash Flow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4"/>
      </tp>
      <tp>
        <v>243</v>
        <stp/>
        <stp>##V3_BDHV12</stp>
        <stp>AMZN US Equity</stp>
        <stp>FREE_CASH_FLOW_EQUITY</stp>
        <stp>FQ2 2008</stp>
        <stp>FQ2 2008</stp>
        <stp>[FA1_j2ahgkxc.xlsx]Cash Flow - Standardized!R51C40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1" s="4"/>
      </tp>
      <tp>
        <v>-1036.1070999999999</v>
        <stp/>
        <stp>##V3_BDHV12</stp>
        <stp>AMZN US Equity</stp>
        <stp>TOTAL_EQUITY</stp>
        <stp>FQ4 2003</stp>
        <stp>FQ4 2003</stp>
        <stp>[FA1_j2ahgkxc.xlsx]Bal Sheet - Standardized!R54C22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4" s="3"/>
      </tp>
      <tp>
        <v>38.555</v>
        <stp/>
        <stp>##V3_BDHV12</stp>
        <stp>AMZN US Equity</stp>
        <stp>PROC_FR_REPURCH_EQTY_DETAILED</stp>
        <stp>FQ1 2003</stp>
        <stp>FQ1 2003</stp>
        <stp>[FA1_j2ahgkxc.xlsx]Cash Flow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4"/>
      </tp>
      <tp>
        <v>0.48</v>
        <stp/>
        <stp>##V3_BDHV12</stp>
        <stp>AMZN US Equity</stp>
        <stp>IS_DIL_EPS_CONT_OPS</stp>
        <stp>FQ4 2007</stp>
        <stp>FQ4 2007</stp>
        <stp>[FA1_j2ahgkxc.xlsx]Income - Adjusted!R42C38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2" s="2"/>
      </tp>
      <tp>
        <v>-227.21090000000001</v>
        <stp/>
        <stp>##V3_BDHV12</stp>
        <stp>AMZN US Equity</stp>
        <stp>TOTAL_EQUITY</stp>
        <stp>FQ4 2004</stp>
        <stp>FQ4 2004</stp>
        <stp>[FA1_j2ahgkxc.xlsx]Bal Sheet - Standardized!R54C26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4" s="3"/>
      </tp>
      <tp t="s">
        <v>—</v>
        <stp/>
        <stp>##V3_BDHV12</stp>
        <stp>AMZN US Equity</stp>
        <stp>CF_CHANGE_IN_ACCOUNTS_PAYABLE</stp>
        <stp>FQ3 2005</stp>
        <stp>FQ3 2005</stp>
        <stp>[FA1_j2ahgkxc.xlsx]Cash Flow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4"/>
      </tp>
      <tp t="s">
        <v>—</v>
        <stp/>
        <stp>##V3_BDHV12</stp>
        <stp>AMZN US Equity</stp>
        <stp>CF_CHANGE_IN_ACCOUNTS_PAYABLE</stp>
        <stp>FQ2 2007</stp>
        <stp>FQ2 2007</stp>
        <stp>[FA1_j2ahgkxc.xlsx]Cash Flow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4"/>
      </tp>
      <tp t="s">
        <v>—</v>
        <stp/>
        <stp>##V3_BDHV12</stp>
        <stp>AMZN US Equity</stp>
        <stp>CF_CHANGE_IN_ACCOUNTS_PAYABLE</stp>
        <stp>FQ3 2004</stp>
        <stp>FQ3 2004</stp>
        <stp>[FA1_j2ahgkxc.xlsx]Cash Flow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4"/>
      </tp>
      <tp t="s">
        <v>—</v>
        <stp/>
        <stp>##V3_BDHV12</stp>
        <stp>AMZN US Equity</stp>
        <stp>CF_CHANGE_IN_ACCOUNTS_PAYABLE</stp>
        <stp>FQ3 2003</stp>
        <stp>FQ3 2003</stp>
        <stp>[FA1_j2ahgkxc.xlsx]Cash Flow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4"/>
      </tp>
      <tp t="s">
        <v>—</v>
        <stp/>
        <stp>##V3_BDHV12</stp>
        <stp>AMZN US Equity</stp>
        <stp>CF_CHANGE_IN_ACCOUNTS_PAYABLE</stp>
        <stp>FQ2 2006</stp>
        <stp>FQ2 2006</stp>
        <stp>[FA1_j2ahgkxc.xlsx]Cash Flow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4"/>
      </tp>
      <tp>
        <v>375.10899999999998</v>
        <stp/>
        <stp>##V3_BDHV12</stp>
        <stp>AMZN US Equity</stp>
        <stp>BS_SH_OUT</stp>
        <stp>FQ1 2002</stp>
        <stp>FQ1 2002</stp>
        <stp>[FA1_j2ahgkxc.xlsx]Bal Sheet - Standardized!R59C15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9" s="3"/>
      </tp>
      <tp>
        <v>380.30399999999997</v>
        <stp/>
        <stp>##V3_BDHV12</stp>
        <stp>AMZN US Equity</stp>
        <stp>BS_SH_OUT</stp>
        <stp>FQ2 2002</stp>
        <stp>FQ2 2002</stp>
        <stp>[FA1_j2ahgkxc.xlsx]Bal Sheet - Standardized!R59C16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9" s="3"/>
      </tp>
      <tp>
        <v>381.21600000000001</v>
        <stp/>
        <stp>##V3_BDHV12</stp>
        <stp>AMZN US Equity</stp>
        <stp>BS_SH_OUT</stp>
        <stp>FQ3 2002</stp>
        <stp>FQ3 2002</stp>
        <stp>[FA1_j2ahgkxc.xlsx]Bal Sheet - Standardized!R59C17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9" s="3"/>
      </tp>
      <tp t="s">
        <v>—</v>
        <stp/>
        <stp>##V3_BDHV12</stp>
        <stp>AMZN US Equity</stp>
        <stp>CF_STOCK_BASED_COMPENSATION</stp>
        <stp>FQ1 2003</stp>
        <stp>FQ1 2003</stp>
        <stp>[FA1_j2ahgkxc.xlsx]Cash Flow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4"/>
      </tp>
      <tp>
        <v>409.71100000000001</v>
        <stp/>
        <stp>##V3_BDHV12</stp>
        <stp>AMZN US Equity</stp>
        <stp>BS_SH_OUT</stp>
        <stp>FQ4 2004</stp>
        <stp>FQ4 2004</stp>
        <stp>[FA1_j2ahgkxc.xlsx]Bal Sheet - Standardized!R59C26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9" s="3"/>
      </tp>
      <tp>
        <v>404.89400000000001</v>
        <stp/>
        <stp>##V3_BDHV12</stp>
        <stp>AMZN US Equity</stp>
        <stp>BS_SH_OUT</stp>
        <stp>FQ1 2004</stp>
        <stp>FQ1 2004</stp>
        <stp>[FA1_j2ahgkxc.xlsx]Bal Sheet - Standardized!R59C23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9" s="3"/>
      </tp>
      <tp>
        <v>0.1827</v>
        <stp/>
        <stp>##V3_BDHV12</stp>
        <stp>AMZN US Equity</stp>
        <stp>TANG_BOOK_VAL_PER_SH</stp>
        <stp>FQ4 2005</stp>
        <stp>FQ4 2005</stp>
        <stp>[FA1_j2ahgkxc.xlsx]Per Share!R27C30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7" s="5"/>
      </tp>
      <tp>
        <v>-4.0720000000000001</v>
        <stp/>
        <stp>##V3_BDHV12</stp>
        <stp>AMZN US Equity</stp>
        <stp>TANG_BOOK_VAL_PER_SH</stp>
        <stp>FQ4 2001</stp>
        <stp>FQ4 2001</stp>
        <stp>[FA1_j2ahgkxc.xlsx]Per Share!R27C14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7" s="5"/>
      </tp>
      <tp>
        <v>-4.0754000000000001</v>
        <stp/>
        <stp>##V3_BDHV12</stp>
        <stp>AMZN US Equity</stp>
        <stp>TANG_BOOK_VAL_PER_SH</stp>
        <stp>FQ3 2002</stp>
        <stp>FQ3 2002</stp>
        <stp>[FA1_j2ahgkxc.xlsx]Per Share!R27C17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7" s="5"/>
      </tp>
      <tp>
        <v>4.8999999999999998E-3</v>
        <stp/>
        <stp>##V3_BDHV12</stp>
        <stp>AMZN US Equity</stp>
        <stp>TANG_BOOK_VAL_PER_SH</stp>
        <stp>FQ3 2006</stp>
        <stp>FQ3 2006</stp>
        <stp>[FA1_j2ahgkxc.xlsx]Per Share!R27C33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7" s="5"/>
      </tp>
      <tp>
        <v>414</v>
        <stp/>
        <stp>##V3_BDHV12</stp>
        <stp>AMZN US Equity</stp>
        <stp>BS_SH_OUT</stp>
        <stp>FQ4 2006</stp>
        <stp>FQ4 2006</stp>
        <stp>[FA1_j2ahgkxc.xlsx]Bal Sheet - Standardized!R59C34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9" s="3"/>
      </tp>
      <tp>
        <v>419</v>
        <stp/>
        <stp>##V3_BDHV12</stp>
        <stp>AMZN US Equity</stp>
        <stp>BS_SH_OUT</stp>
        <stp>FQ2 2006</stp>
        <stp>FQ2 2006</stp>
        <stp>[FA1_j2ahgkxc.xlsx]Bal Sheet - Standardized!R59C32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9" s="3"/>
      </tp>
      <tp>
        <v>411</v>
        <stp/>
        <stp>##V3_BDHV12</stp>
        <stp>AMZN US Equity</stp>
        <stp>BS_SH_OUT</stp>
        <stp>FQ3 2006</stp>
        <stp>FQ3 2006</stp>
        <stp>[FA1_j2ahgkxc.xlsx]Bal Sheet - Standardized!R59C33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9" s="3"/>
      </tp>
      <tp>
        <v>417</v>
        <stp/>
        <stp>##V3_BDHV12</stp>
        <stp>AMZN US Equity</stp>
        <stp>BS_SH_OUT</stp>
        <stp>FQ1 2006</stp>
        <stp>FQ1 2006</stp>
        <stp>[FA1_j2ahgkxc.xlsx]Bal Sheet - Standardized!R59C31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9" s="3"/>
      </tp>
      <tp t="s">
        <v>—</v>
        <stp/>
        <stp>##V3_BDHV12</stp>
        <stp>AMZN US Equity</stp>
        <stp>CF_STOCK_BASED_COMPENSATION</stp>
        <stp>FQ2 2005</stp>
        <stp>FQ2 2005</stp>
        <stp>[FA1_j2ahgkxc.xlsx]Cash Flow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4"/>
      </tp>
      <tp>
        <v>80</v>
        <stp/>
        <stp>##V3_BDHV12</stp>
        <stp>AMZN US Equity</stp>
        <stp>CF_STOCK_BASED_COMPENSATION</stp>
        <stp>FQ4 2008</stp>
        <stp>FQ4 2008</stp>
        <stp>[FA1_j2ahgkxc.xlsx]Cash Flow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4"/>
      </tp>
      <tp>
        <v>15.567600000000001</v>
        <stp/>
        <stp>##V3_BDHV12</stp>
        <stp>AMZN US Equity</stp>
        <stp>TCE_RATIO</stp>
        <stp>FQ4 2007</stp>
        <stp>FQ4 2007</stp>
        <stp>[FA1_j2ahgkxc.xlsx]Bal Sheet - Standardized!R67C38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7" s="3"/>
      </tp>
      <tp t="s">
        <v>—</v>
        <stp/>
        <stp>##V3_BDHV12</stp>
        <stp>AMZN US Equity</stp>
        <stp>CF_STOCK_BASED_COMPENSATION</stp>
        <stp>FQ2 2003</stp>
        <stp>FQ2 2003</stp>
        <stp>[FA1_j2ahgkxc.xlsx]Cash Flow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4"/>
      </tp>
      <tp t="s">
        <v>—</v>
        <stp/>
        <stp>##V3_BDHV12</stp>
        <stp>AMZN US Equity</stp>
        <stp>CF_STOCK_BASED_COMPENSATION</stp>
        <stp>FQ1 2001</stp>
        <stp>FQ1 2001</stp>
        <stp>[FA1_j2ahgkxc.xlsx]Cash Flow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4"/>
      </tp>
      <tp t="s">
        <v>—</v>
        <stp/>
        <stp>##V3_BDHV12</stp>
        <stp>AMZN US Equity</stp>
        <stp>CF_STOCK_BASED_COMPENSATION</stp>
        <stp>FQ3 2007</stp>
        <stp>FQ3 2007</stp>
        <stp>[FA1_j2ahgkxc.xlsx]Cash Flow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4"/>
      </tp>
      <tp t="s">
        <v>—</v>
        <stp/>
        <stp>##V3_BDHV12</stp>
        <stp>AMZN US Equity</stp>
        <stp>CF_STOCK_BASED_COMPENSATION</stp>
        <stp>FQ2 2004</stp>
        <stp>FQ2 2004</stp>
        <stp>[FA1_j2ahgkxc.xlsx]Cash Flow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4"/>
      </tp>
      <tp>
        <v>-83.452399999999997</v>
        <stp/>
        <stp>##V3_BDHV12</stp>
        <stp>AMZN US Equity</stp>
        <stp>TCE_RATIO</stp>
        <stp>FQ1 2003</stp>
        <stp>FQ1 2003</stp>
        <stp>[FA1_j2ahgkxc.xlsx]Bal Sheet - Standardized!R67C19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7" s="3"/>
      </tp>
      <tp t="s">
        <v>—</v>
        <stp/>
        <stp>##V3_BDHV12</stp>
        <stp>AMZN US Equity</stp>
        <stp>CF_STOCK_BASED_COMPENSATION</stp>
        <stp>FQ1 2002</stp>
        <stp>FQ1 2002</stp>
        <stp>[FA1_j2ahgkxc.xlsx]Cash Flow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4"/>
      </tp>
      <tp t="s">
        <v>—</v>
        <stp/>
        <stp>##V3_BDHV12</stp>
        <stp>AMZN US Equity</stp>
        <stp>CF_STOCK_BASED_COMPENSATION</stp>
        <stp>FQ3 2006</stp>
        <stp>FQ3 2006</stp>
        <stp>[FA1_j2ahgkxc.xlsx]Cash Flow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4"/>
      </tp>
      <tp>
        <v>-138.00800000000001</v>
        <stp/>
        <stp>##V3_BDHV12</stp>
        <stp>AMZN US Equity</stp>
        <stp>EARN_FOR_COMMON</stp>
        <stp>FQ2 1999</stp>
        <stp>FQ2 1999</stp>
        <stp>[FA1_j2ahgkxc.xlsx]Income - Adjusted!R29C5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9" s="2"/>
      </tp>
      <tp>
        <v>16.96</v>
        <stp/>
        <stp>##V3_BDHV12</stp>
        <stp>AMZN US Equity</stp>
        <stp>PX_HIGH</stp>
        <stp>FQ1 2002</stp>
        <stp>FQ1 2002</stp>
        <stp>[FA1_j2ahgkxc.xlsx]Stock Value!R9C15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9" s="6"/>
      </tp>
      <tp>
        <v>42</v>
        <stp/>
        <stp>##V3_BDHV12</stp>
        <stp>AMZN US Equity</stp>
        <stp>PX_HIGH</stp>
        <stp>FQ1 2007</stp>
        <stp>FQ1 2007</stp>
        <stp>[FA1_j2ahgkxc.xlsx]Stock Value!R9C35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9" s="6"/>
      </tp>
      <tp>
        <v>54.04</v>
        <stp/>
        <stp>##V3_BDHV12</stp>
        <stp>AMZN US Equity</stp>
        <stp>PX_HIGH</stp>
        <stp>FQ3 2004</stp>
        <stp>FQ3 2004</stp>
        <stp>[FA1_j2ahgkxc.xlsx]Stock Value!R9C25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9" s="6"/>
      </tp>
      <tp>
        <v>68.81</v>
        <stp/>
        <stp>##V3_BDHV12</stp>
        <stp>AMZN US Equity</stp>
        <stp>PX_OPEN</stp>
        <stp>FQ3 2007</stp>
        <stp>FQ3 2007</stp>
        <stp>[FA1_j2ahgkxc.xlsx]Stock Value!R8C37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6"/>
      </tp>
      <tp>
        <v>0.27</v>
        <stp/>
        <stp>##V3_BDHV12</stp>
        <stp>AMZN US Equity</stp>
        <stp>IS_DIL_EPS_BEF_XO</stp>
        <stp>FQ3 2008</stp>
        <stp>FQ3 2008</stp>
        <stp>[FA1_j2ahgkxc.xlsx]Per Share!R18C41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8" s="5"/>
      </tp>
      <tp>
        <v>16.170000000000002</v>
        <stp/>
        <stp>##V3_BDHV12</stp>
        <stp>AMZN US Equity</stp>
        <stp>PX_OPEN</stp>
        <stp>FQ3 2002</stp>
        <stp>FQ3 2002</stp>
        <stp>[FA1_j2ahgkxc.xlsx]Stock Value!R8C17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6"/>
      </tp>
      <tp>
        <v>44.95</v>
        <stp/>
        <stp>##V3_BDHV12</stp>
        <stp>AMZN US Equity</stp>
        <stp>PX_OPEN</stp>
        <stp>FQ1 2005</stp>
        <stp>FQ1 2005</stp>
        <stp>[FA1_j2ahgkxc.xlsx]Stock Value!R8C27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6"/>
      </tp>
      <tp>
        <v>15.563000000000001</v>
        <stp/>
        <stp>##V3_BDHV12</stp>
        <stp>AMZN US Equity</stp>
        <stp>NI_INCLUDING_MINORITY_INT_RATIO</stp>
        <stp>FQ3 2003</stp>
        <stp>FQ3 2003</stp>
        <stp>[FA1_j2ahgkxc.xlsx]Income - Adjusted!R24C21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4" s="2"/>
      </tp>
      <tp>
        <v>-169.874</v>
        <stp/>
        <stp>##V3_BDHV12</stp>
        <stp>AMZN US Equity</stp>
        <stp>NI_INCLUDING_MINORITY_INT_RATIO</stp>
        <stp>FQ3 2001</stp>
        <stp>FQ3 2001</stp>
        <stp>[FA1_j2ahgkxc.xlsx]Income - Adjusted!R24C13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4" s="2"/>
      </tp>
      <tp>
        <v>111</v>
        <stp/>
        <stp>##V3_BDHV12</stp>
        <stp>AMZN US Equity</stp>
        <stp>NI_INCLUDING_MINORITY_INT_RATIO</stp>
        <stp>FQ1 2007</stp>
        <stp>FQ1 2007</stp>
        <stp>[FA1_j2ahgkxc.xlsx]Income - Adjusted!R24C35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4" s="2"/>
      </tp>
      <tp>
        <v>78</v>
        <stp/>
        <stp>##V3_BDHV12</stp>
        <stp>AMZN US Equity</stp>
        <stp>NI_INCLUDING_MINORITY_INT_RATIO</stp>
        <stp>FQ1 2005</stp>
        <stp>FQ1 2005</stp>
        <stp>[FA1_j2ahgkxc.xlsx]Income - Adjusted!R24C27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4" s="2"/>
      </tp>
      <tp>
        <v>98</v>
        <stp/>
        <stp>##V3_BDHV12</stp>
        <stp>AMZN US Equity</stp>
        <stp>NI_INCLUDING_MINORITY_INT_RATIO</stp>
        <stp>FQ4 2006</stp>
        <stp>FQ4 2006</stp>
        <stp>[FA1_j2ahgkxc.xlsx]Income - Adjusted!R24C34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4" s="2"/>
      </tp>
      <tp>
        <v>346.68799999999999</v>
        <stp/>
        <stp>##V3_BDHV12</stp>
        <stp>AMZN US Equity</stp>
        <stp>NI_INCLUDING_MINORITY_INT_RATIO</stp>
        <stp>FQ4 2004</stp>
        <stp>FQ4 2004</stp>
        <stp>[FA1_j2ahgkxc.xlsx]Income - Adjusted!R24C26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4" s="2"/>
      </tp>
      <tp t="s">
        <v>—</v>
        <stp/>
        <stp>##V3_BDHV12</stp>
        <stp>AMZN US Equity</stp>
        <stp>BS_OPTIONS_OUTSTANDING</stp>
        <stp>FQ4 2000</stp>
        <stp>FQ4 2000</stp>
        <stp>[FA1_j2ahgkxc.xlsx]Bal Sheet - Standardized!R64C10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4" s="3"/>
      </tp>
      <tp>
        <v>0</v>
        <stp/>
        <stp>##V3_BDHV12</stp>
        <stp>AMZN US Equity</stp>
        <stp>MIN_NONCONTROL_INTEREST_CREDITS</stp>
        <stp>FQ2 2005</stp>
        <stp>FQ2 2005</stp>
        <stp>[FA1_j2ahgkxc.xlsx]Income - Adjusted!R25C28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5" s="2"/>
      </tp>
      <tp>
        <v>-23.15</v>
        <stp/>
        <stp>##V3_BDHV12</stp>
        <stp>AMZN US Equity</stp>
        <stp>EARN_FOR_COMMON</stp>
        <stp>FQ1 2002</stp>
        <stp>FQ1 2002</stp>
        <stp>[FA1_j2ahgkxc.xlsx]Income - Adjusted!R29C15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9" s="2"/>
      </tp>
      <tp>
        <v>111.136</v>
        <stp/>
        <stp>##V3_BDHV12</stp>
        <stp>AMZN US Equity</stp>
        <stp>EARN_FOR_COMMON</stp>
        <stp>FQ1 2004</stp>
        <stp>FQ1 2004</stp>
        <stp>[FA1_j2ahgkxc.xlsx]Income - Adjusted!R29C23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9" s="2"/>
      </tp>
      <tp>
        <v>51</v>
        <stp/>
        <stp>##V3_BDHV12</stp>
        <stp>AMZN US Equity</stp>
        <stp>EARN_FOR_COMMON</stp>
        <stp>FQ1 2006</stp>
        <stp>FQ1 2006</stp>
        <stp>[FA1_j2ahgkxc.xlsx]Income - Adjusted!R29C31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9" s="2"/>
      </tp>
      <tp t="s">
        <v>—</v>
        <stp/>
        <stp>##V3_BDHV12</stp>
        <stp>AMZN US Equity</stp>
        <stp>NUM_OF_EMPLOYEES</stp>
        <stp>FQ1 2005</stp>
        <stp>FQ1 2005</stp>
        <stp>[FA1_j2ahgkxc.xlsx]Bal Sheet - Standardized!R70C27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0" s="3"/>
      </tp>
      <tp t="s">
        <v>—</v>
        <stp/>
        <stp>##V3_BDHV12</stp>
        <stp>AMZN US Equity</stp>
        <stp>NUM_OF_EMPLOYEES</stp>
        <stp>FQ3 2007</stp>
        <stp>FQ3 2007</stp>
        <stp>[FA1_j2ahgkxc.xlsx]Bal Sheet - Standardized!R70C37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0" s="3"/>
      </tp>
      <tp t="s">
        <v>—</v>
        <stp/>
        <stp>##V3_BDHV12</stp>
        <stp>AMZN US Equity</stp>
        <stp>NUM_OF_EMPLOYEES</stp>
        <stp>FQ2 2007</stp>
        <stp>FQ2 2007</stp>
        <stp>[FA1_j2ahgkxc.xlsx]Bal Sheet - Standardized!R70C36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0" s="3"/>
      </tp>
      <tp t="s">
        <v>—</v>
        <stp/>
        <stp>##V3_BDHV12</stp>
        <stp>AMZN US Equity</stp>
        <stp>NUM_OF_EMPLOYEES</stp>
        <stp>FQ1 2007</stp>
        <stp>FQ1 2007</stp>
        <stp>[FA1_j2ahgkxc.xlsx]Bal Sheet - Standardized!R70C35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0" s="3"/>
      </tp>
      <tp>
        <v>0.24</v>
        <stp/>
        <stp>##V3_BDHV12</stp>
        <stp>AMZN US Equity</stp>
        <stp>IS_EARN_BEF_XO_ITEMS_PER_SH</stp>
        <stp>FQ4 2006</stp>
        <stp>FQ4 2006</stp>
        <stp>[FA1_j2ahgkxc.xlsx]Per Share!R15C34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5" s="5"/>
      </tp>
      <tp>
        <v>0.85</v>
        <stp/>
        <stp>##V3_BDHV12</stp>
        <stp>AMZN US Equity</stp>
        <stp>IS_EARN_BEF_XO_ITEMS_PER_SH</stp>
        <stp>FQ4 2004</stp>
        <stp>FQ4 2004</stp>
        <stp>[FA1_j2ahgkxc.xlsx]Per Share!R15C26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5" s="5"/>
      </tp>
      <tp>
        <v>-0.46</v>
        <stp/>
        <stp>##V3_BDHV12</stp>
        <stp>AMZN US Equity</stp>
        <stp>IS_EARN_BEF_XO_ITEMS_PER_SH</stp>
        <stp>FQ3 2001</stp>
        <stp>FQ3 2001</stp>
        <stp>[FA1_j2ahgkxc.xlsx]Per Share!R15C13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5" s="5"/>
      </tp>
      <tp>
        <v>0.04</v>
        <stp/>
        <stp>##V3_BDHV12</stp>
        <stp>AMZN US Equity</stp>
        <stp>IS_EARN_BEF_XO_ITEMS_PER_SH</stp>
        <stp>FQ3 2003</stp>
        <stp>FQ3 2003</stp>
        <stp>[FA1_j2ahgkxc.xlsx]Per Share!R15C21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5" s="5"/>
      </tp>
      <tp>
        <v>0.27</v>
        <stp/>
        <stp>##V3_BDHV12</stp>
        <stp>AMZN US Equity</stp>
        <stp>IS_EARN_BEF_XO_ITEMS_PER_SH</stp>
        <stp>FQ1 2007</stp>
        <stp>FQ1 2007</stp>
        <stp>[FA1_j2ahgkxc.xlsx]Per Share!R15C35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5" s="5"/>
      </tp>
      <tp>
        <v>0.13</v>
        <stp/>
        <stp>##V3_BDHV12</stp>
        <stp>AMZN US Equity</stp>
        <stp>IS_EARN_BEF_XO_ITEMS_PER_SH</stp>
        <stp>FQ1 2005</stp>
        <stp>FQ1 2005</stp>
        <stp>[FA1_j2ahgkxc.xlsx]Per Share!R15C27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5" s="5"/>
      </tp>
      <tp>
        <v>575</v>
        <stp/>
        <stp>##V3_BDHV12</stp>
        <stp>AMZN US Equity</stp>
        <stp>FREE_CASH_FLOW_EQUITY</stp>
        <stp>FQ4 2005</stp>
        <stp>FQ4 2005</stp>
        <stp>[FA1_j2ahgkxc.xlsx]Cash Flow - Standardized!R51C30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1" s="4"/>
      </tp>
      <tp>
        <v>37.797800000000002</v>
        <stp/>
        <stp>##V3_BDHV12</stp>
        <stp>AMZN US Equity</stp>
        <stp>CHG_PCT_PERIOD</stp>
        <stp>FQ1 2003</stp>
        <stp>FQ1 2003</stp>
        <stp>[FA1_j2ahgkxc.xlsx]Stock Value!R7C19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6"/>
      </tp>
      <tp>
        <v>-23.035399999999999</v>
        <stp/>
        <stp>##V3_BDHV12</stp>
        <stp>AMZN US Equity</stp>
        <stp>CHG_PCT_PERIOD</stp>
        <stp>FQ1 2008</stp>
        <stp>FQ1 2008</stp>
        <stp>[FA1_j2ahgkxc.xlsx]Stock Value!R7C39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6"/>
      </tp>
      <tp>
        <v>1197</v>
        <stp/>
        <stp>##V3_BDHV12</stp>
        <stp>AMZN US Equity</stp>
        <stp>TOTAL_EQUITY</stp>
        <stp>FQ4 2007</stp>
        <stp>FQ4 2007</stp>
        <stp>[FA1_j2ahgkxc.xlsx]Bal Sheet - Standardized!R54C38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4" s="3"/>
      </tp>
      <tp>
        <v>16.576999999999998</v>
        <stp/>
        <stp>##V3_BDHV12</stp>
        <stp>AMZN US Equity</stp>
        <stp>BS_ST_BORROW</stp>
        <stp>FQ4 2000</stp>
        <stp>FQ4 2000</stp>
        <stp>[FA1_j2ahgkxc.xlsx]Bal Sheet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3"/>
      </tp>
      <tp>
        <v>28</v>
        <stp/>
        <stp>##V3_BDHV12</stp>
        <stp>AMZN US Equity</stp>
        <stp>PROC_FR_REPURCH_EQTY_DETAILED</stp>
        <stp>FQ2 2006</stp>
        <stp>FQ2 2006</stp>
        <stp>[FA1_j2ahgkxc.xlsx]Cash Flow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4"/>
      </tp>
      <tp>
        <v>36.8994</v>
        <stp/>
        <stp>##V3_BDHV12</stp>
        <stp>AMZN US Equity</stp>
        <stp>CHG_PCT_PERIOD</stp>
        <stp>FQ3 2005</stp>
        <stp>FQ3 2005</stp>
        <stp>[FA1_j2ahgkxc.xlsx]Stock Value!R7C29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6"/>
      </tp>
      <tp>
        <v>2527</v>
        <stp/>
        <stp>##V3_BDHV12</stp>
        <stp>AMZN US Equity</stp>
        <stp>TOTAL_EQUITY</stp>
        <stp>FQ3 2008</stp>
        <stp>FQ3 2008</stp>
        <stp>[FA1_j2ahgkxc.xlsx]Bal Sheet - Standardized!R54C41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4" s="3"/>
      </tp>
      <tp>
        <v>41.234999999999999</v>
        <stp/>
        <stp>##V3_BDHV12</stp>
        <stp>AMZN US Equity</stp>
        <stp>PROC_FR_REPURCH_EQTY_DETAILED</stp>
        <stp>FQ3 2003</stp>
        <stp>FQ3 2003</stp>
        <stp>[FA1_j2ahgkxc.xlsx]Cash Flow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4"/>
      </tp>
      <tp>
        <v>70</v>
        <stp/>
        <stp>##V3_BDHV12</stp>
        <stp>AMZN US Equity</stp>
        <stp>PROC_FR_REPURCH_EQTY_DETAILED</stp>
        <stp>FQ2 2007</stp>
        <stp>FQ2 2007</stp>
        <stp>[FA1_j2ahgkxc.xlsx]Cash Flow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4"/>
      </tp>
      <tp>
        <v>704</v>
        <stp/>
        <stp>##V3_BDHV12</stp>
        <stp>AMZN US Equity</stp>
        <stp>FREE_CASH_FLOW_EQUITY</stp>
        <stp>FQ4 2006</stp>
        <stp>FQ4 2006</stp>
        <stp>[FA1_j2ahgkxc.xlsx]Cash Flow - Standardized!R51C34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1" s="4"/>
      </tp>
      <tp>
        <v>7.7270000000000003</v>
        <stp/>
        <stp>##V3_BDHV12</stp>
        <stp>AMZN US Equity</stp>
        <stp>PROC_FR_REPURCH_EQTY_DETAILED</stp>
        <stp>FQ3 2004</stp>
        <stp>FQ3 2004</stp>
        <stp>[FA1_j2ahgkxc.xlsx]Cash Flow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4"/>
      </tp>
      <tp>
        <v>0</v>
        <stp/>
        <stp>##V3_BDHV12</stp>
        <stp>AMZN US Equity</stp>
        <stp>BS_OTHER_INV</stp>
        <stp>FQ4 2002</stp>
        <stp>FQ4 2002</stp>
        <stp>[FA1_j2ahgkxc.xlsx]Bal Sheet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3"/>
      </tp>
      <tp>
        <v>14.992000000000001</v>
        <stp/>
        <stp>##V3_BDHV12</stp>
        <stp>AMZN US Equity</stp>
        <stp>BS_ST_BORROW</stp>
        <stp>FQ4 2001</stp>
        <stp>FQ4 2001</stp>
        <stp>[FA1_j2ahgkxc.xlsx]Bal Sheet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3"/>
      </tp>
      <tp>
        <v>0</v>
        <stp/>
        <stp>##V3_BDHV12</stp>
        <stp>AMZN US Equity</stp>
        <stp>BS_OTHER_INV</stp>
        <stp>FQ4 2001</stp>
        <stp>FQ4 2001</stp>
        <stp>[FA1_j2ahgkxc.xlsx]Bal Sheet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3"/>
      </tp>
      <tp>
        <v>246</v>
        <stp/>
        <stp>##V3_BDHV12</stp>
        <stp>AMZN US Equity</stp>
        <stp>TOTAL_EQUITY</stp>
        <stp>FQ4 2005</stp>
        <stp>FQ4 2005</stp>
        <stp>[FA1_j2ahgkxc.xlsx]Bal Sheet - Standardized!R54C30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4" s="3"/>
      </tp>
      <tp>
        <v>13.318</v>
        <stp/>
        <stp>##V3_BDHV12</stp>
        <stp>AMZN US Equity</stp>
        <stp>BS_ST_BORROW</stp>
        <stp>FQ4 2002</stp>
        <stp>FQ4 2002</stp>
        <stp>[FA1_j2ahgkxc.xlsx]Bal Sheet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3"/>
      </tp>
      <tp>
        <v>1068</v>
        <stp/>
        <stp>##V3_BDHV12</stp>
        <stp>AMZN US Equity</stp>
        <stp>FREE_CASH_FLOW_EQUITY</stp>
        <stp>FQ4 2007</stp>
        <stp>FQ4 2007</stp>
        <stp>[FA1_j2ahgkxc.xlsx]Cash Flow - Standardized!R51C38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1" s="4"/>
      </tp>
      <tp>
        <v>23</v>
        <stp/>
        <stp>##V3_BDHV12</stp>
        <stp>AMZN US Equity</stp>
        <stp>PROC_FR_REPURCH_EQTY_DETAILED</stp>
        <stp>FQ3 2005</stp>
        <stp>FQ3 2005</stp>
        <stp>[FA1_j2ahgkxc.xlsx]Cash Flow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4"/>
      </tp>
      <tp>
        <v>27</v>
        <stp/>
        <stp>##V3_BDHV12</stp>
        <stp>AMZN US Equity</stp>
        <stp>FREE_CASH_FLOW_EQUITY</stp>
        <stp>FQ3 2008</stp>
        <stp>FQ3 2008</stp>
        <stp>[FA1_j2ahgkxc.xlsx]Cash Flow - Standardized!R51C41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1" s="4"/>
      </tp>
      <tp>
        <v>0</v>
        <stp/>
        <stp>##V3_BDHV12</stp>
        <stp>AMZN US Equity</stp>
        <stp>BS_OTHER_INV</stp>
        <stp>FQ4 2000</stp>
        <stp>FQ4 2000</stp>
        <stp>[FA1_j2ahgkxc.xlsx]Bal Sheet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3"/>
      </tp>
      <tp>
        <v>431</v>
        <stp/>
        <stp>##V3_BDHV12</stp>
        <stp>AMZN US Equity</stp>
        <stp>TOTAL_EQUITY</stp>
        <stp>FQ4 2006</stp>
        <stp>FQ4 2006</stp>
        <stp>[FA1_j2ahgkxc.xlsx]Bal Sheet - Standardized!R54C34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4" s="3"/>
      </tp>
      <tp>
        <v>70</v>
        <stp/>
        <stp>##V3_BDHV12</stp>
        <stp>AMZN US Equity</stp>
        <stp>CF_DEPR_AMORT</stp>
        <stp>FQ2 2008</stp>
        <stp>FQ2 2008</stp>
        <stp>[FA1_j2ahgkxc.xlsx]Cash Flow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4"/>
      </tp>
      <tp>
        <v>76</v>
        <stp/>
        <stp>##V3_BDHV12</stp>
        <stp>AMZN US Equity</stp>
        <stp>CF_DEPR_AMORT</stp>
        <stp>FQ3 2008</stp>
        <stp>FQ3 2008</stp>
        <stp>[FA1_j2ahgkxc.xlsx]Cash Flow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4"/>
      </tp>
      <tp t="s">
        <v>—</v>
        <stp/>
        <stp>##V3_BDHV12</stp>
        <stp>AMZN US Equity</stp>
        <stp>CF_CHANGE_IN_ACCOUNTS_PAYABLE</stp>
        <stp>FQ1 2003</stp>
        <stp>FQ1 2003</stp>
        <stp>[FA1_j2ahgkxc.xlsx]Cash Flow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4"/>
      </tp>
      <tp>
        <v>77</v>
        <stp/>
        <stp>##V3_BDHV12</stp>
        <stp>AMZN US Equity</stp>
        <stp>CF_DEPR_AMORT</stp>
        <stp>FQ4 2008</stp>
        <stp>FQ4 2008</stp>
        <stp>[FA1_j2ahgkxc.xlsx]Cash Flow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4"/>
      </tp>
      <tp t="s">
        <v>—</v>
        <stp/>
        <stp>##V3_BDHV12</stp>
        <stp>AMZN US Equity</stp>
        <stp>CF_CHANGE_IN_ACCOUNTS_PAYABLE</stp>
        <stp>FQ2 2005</stp>
        <stp>FQ2 2005</stp>
        <stp>[FA1_j2ahgkxc.xlsx]Cash Flow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4"/>
      </tp>
      <tp>
        <v>1336</v>
        <stp/>
        <stp>##V3_BDHV12</stp>
        <stp>AMZN US Equity</stp>
        <stp>CF_CHANGE_IN_ACCOUNTS_PAYABLE</stp>
        <stp>FQ4 2008</stp>
        <stp>FQ4 2008</stp>
        <stp>[FA1_j2ahgkxc.xlsx]Cash Flow - Standardized!R16C42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6" s="4"/>
      </tp>
      <tp t="s">
        <v>—</v>
        <stp/>
        <stp>##V3_BDHV12</stp>
        <stp>AMZN US Equity</stp>
        <stp>CF_CHANGE_IN_ACCOUNTS_PAYABLE</stp>
        <stp>FQ3 2007</stp>
        <stp>FQ3 2007</stp>
        <stp>[FA1_j2ahgkxc.xlsx]Cash Flow - Standardized!R16C37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6" s="4"/>
      </tp>
      <tp t="s">
        <v>—</v>
        <stp/>
        <stp>##V3_BDHV12</stp>
        <stp>AMZN US Equity</stp>
        <stp>CF_CHANGE_IN_ACCOUNTS_PAYABLE</stp>
        <stp>FQ2 2004</stp>
        <stp>FQ2 2004</stp>
        <stp>[FA1_j2ahgkxc.xlsx]Cash Flow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4"/>
      </tp>
      <tp t="s">
        <v>—</v>
        <stp/>
        <stp>##V3_BDHV12</stp>
        <stp>AMZN US Equity</stp>
        <stp>CF_CHANGE_IN_ACCOUNTS_PAYABLE</stp>
        <stp>FQ2 2003</stp>
        <stp>FQ2 2003</stp>
        <stp>[FA1_j2ahgkxc.xlsx]Cash Flow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4"/>
      </tp>
      <tp t="s">
        <v>—</v>
        <stp/>
        <stp>##V3_BDHV12</stp>
        <stp>AMZN US Equity</stp>
        <stp>CF_CHANGE_IN_ACCOUNTS_PAYABLE</stp>
        <stp>FQ1 2001</stp>
        <stp>FQ1 2001</stp>
        <stp>[FA1_j2ahgkxc.xlsx]Cash Flow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4"/>
      </tp>
      <tp t="s">
        <v>—</v>
        <stp/>
        <stp>##V3_BDHV12</stp>
        <stp>AMZN US Equity</stp>
        <stp>CF_CHANGE_IN_ACCOUNTS_PAYABLE</stp>
        <stp>FQ1 2002</stp>
        <stp>FQ1 2002</stp>
        <stp>[FA1_j2ahgkxc.xlsx]Cash Flow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4"/>
      </tp>
      <tp>
        <v>252</v>
        <stp/>
        <stp>##V3_BDHV12</stp>
        <stp>AMZN US Equity</stp>
        <stp>CF_CHANGE_IN_ACCOUNTS_PAYABLE</stp>
        <stp>FQ3 2006</stp>
        <stp>FQ3 2006</stp>
        <stp>[FA1_j2ahgkxc.xlsx]Cash Flow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4"/>
      </tp>
      <tp>
        <v>-3.9976000000000003</v>
        <stp/>
        <stp>##V3_BDHV12</stp>
        <stp>AMZN US Equity</stp>
        <stp>TANG_BOOK_VAL_PER_SH</stp>
        <stp>FQ2 2002</stp>
        <stp>FQ2 2002</stp>
        <stp>[FA1_j2ahgkxc.xlsx]Per Share!R27C16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7" s="5"/>
      </tp>
      <tp>
        <v>0.45350000000000001</v>
        <stp/>
        <stp>##V3_BDHV12</stp>
        <stp>AMZN US Equity</stp>
        <stp>TANG_BOOK_VAL_PER_SH</stp>
        <stp>FQ2 2006</stp>
        <stp>FQ2 2006</stp>
        <stp>[FA1_j2ahgkxc.xlsx]Per Share!R27C32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7" s="5"/>
      </tp>
      <tp t="s">
        <v>—</v>
        <stp/>
        <stp>##V3_BDHV12</stp>
        <stp>AMZN US Equity</stp>
        <stp>CF_STOCK_BASED_COMPENSATION</stp>
        <stp>FQ3 2005</stp>
        <stp>FQ3 2005</stp>
        <stp>[FA1_j2ahgkxc.xlsx]Cash Flow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4"/>
      </tp>
      <tp>
        <v>30.901699999999998</v>
        <stp/>
        <stp>##V3_BDHV12</stp>
        <stp>AMZN US Equity</stp>
        <stp>TCE_RATIO</stp>
        <stp>FQ2 2008</stp>
        <stp>FQ2 2008</stp>
        <stp>[FA1_j2ahgkxc.xlsx]Bal Sheet - Standardized!R67C40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7" s="3"/>
      </tp>
      <tp>
        <v>34.442500000000003</v>
        <stp/>
        <stp>##V3_BDHV12</stp>
        <stp>AMZN US Equity</stp>
        <stp>TCE_RATIO</stp>
        <stp>FQ3 2008</stp>
        <stp>FQ3 2008</stp>
        <stp>[FA1_j2ahgkxc.xlsx]Bal Sheet - Standardized!R67C41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7" s="3"/>
      </tp>
      <tp t="s">
        <v>—</v>
        <stp/>
        <stp>##V3_BDHV12</stp>
        <stp>AMZN US Equity</stp>
        <stp>CF_STOCK_BASED_COMPENSATION</stp>
        <stp>FQ3 2003</stp>
        <stp>FQ3 2003</stp>
        <stp>[FA1_j2ahgkxc.xlsx]Cash Flow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4"/>
      </tp>
      <tp t="s">
        <v>—</v>
        <stp/>
        <stp>##V3_BDHV12</stp>
        <stp>AMZN US Equity</stp>
        <stp>CF_STOCK_BASED_COMPENSATION</stp>
        <stp>FQ2 2007</stp>
        <stp>FQ2 2007</stp>
        <stp>[FA1_j2ahgkxc.xlsx]Cash Flow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4"/>
      </tp>
      <tp t="s">
        <v>—</v>
        <stp/>
        <stp>##V3_BDHV12</stp>
        <stp>AMZN US Equity</stp>
        <stp>CF_STOCK_BASED_COMPENSATION</stp>
        <stp>FQ3 2004</stp>
        <stp>FQ3 2004</stp>
        <stp>[FA1_j2ahgkxc.xlsx]Cash Flow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4"/>
      </tp>
      <tp t="s">
        <v>—</v>
        <stp/>
        <stp>##V3_BDHV12</stp>
        <stp>AMZN US Equity</stp>
        <stp>CF_STOCK_BASED_COMPENSATION</stp>
        <stp>FQ2 2006</stp>
        <stp>FQ2 2006</stp>
        <stp>[FA1_j2ahgkxc.xlsx]Cash Flow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4"/>
      </tp>
      <tp>
        <v>0</v>
        <stp/>
        <stp>##V3_BDHV12</stp>
        <stp>AMZN US Equity</stp>
        <stp>MIN_NONCONTROL_INTEREST_CREDITS</stp>
        <stp>FQ1 2000</stp>
        <stp>FQ1 2000</stp>
        <stp>[FA1_j2ahgkxc.xlsx]Income - Adjusted!R25C8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5" s="2"/>
      </tp>
      <tp>
        <v>-46.427</v>
        <stp/>
        <stp>##V3_BDHV12</stp>
        <stp>AMZN US Equity</stp>
        <stp>EARN_FOR_COMMON</stp>
        <stp>FQ4 1998</stp>
        <stp>FQ4 1998</stp>
        <stp>[FA1_j2ahgkxc.xlsx]Income - Adjusted!R29C3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9" s="2"/>
      </tp>
      <tp>
        <v>-308.42500000000001</v>
        <stp/>
        <stp>##V3_BDHV12</stp>
        <stp>AMZN US Equity</stp>
        <stp>NI_INCLUDING_MINORITY_INT_RATIO</stp>
        <stp>FQ1 2000</stp>
        <stp>FQ1 2000</stp>
        <stp>[FA1_j2ahgkxc.xlsx]Income - Adjusted!R24C8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4" s="2"/>
      </tp>
      <tp>
        <v>5.91</v>
        <stp/>
        <stp>##V3_BDHV12</stp>
        <stp>AMZN US Equity</stp>
        <stp>PX_OPEN</stp>
        <stp>FQ4 2001</stp>
        <stp>FQ4 2001</stp>
        <stp>[FA1_j2ahgkxc.xlsx]Stock Value!R8C14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6"/>
      </tp>
      <tp>
        <v>31.98</v>
        <stp/>
        <stp>##V3_BDHV12</stp>
        <stp>AMZN US Equity</stp>
        <stp>PX_OPEN</stp>
        <stp>FQ4 2006</stp>
        <stp>FQ4 2006</stp>
        <stp>[FA1_j2ahgkxc.xlsx]Stock Value!R8C34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6"/>
      </tp>
      <tp>
        <v>20.399999999999999</v>
        <stp/>
        <stp>##V3_BDHV12</stp>
        <stp>AMZN US Equity</stp>
        <stp>PX_HIGH</stp>
        <stp>FQ2 2002</stp>
        <stp>FQ2 2002</stp>
        <stp>[FA1_j2ahgkxc.xlsx]Stock Value!R9C16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9" s="6"/>
      </tp>
      <tp>
        <v>74.72</v>
        <stp/>
        <stp>##V3_BDHV12</stp>
        <stp>AMZN US Equity</stp>
        <stp>PX_HIGH</stp>
        <stp>FQ2 2007</stp>
        <stp>FQ2 2007</stp>
        <stp>[FA1_j2ahgkxc.xlsx]Stock Value!R9C36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9" s="6"/>
      </tp>
      <tp>
        <v>43.44</v>
        <stp/>
        <stp>##V3_BDHV12</stp>
        <stp>AMZN US Equity</stp>
        <stp>PX_OPEN</stp>
        <stp>FQ2 2004</stp>
        <stp>FQ2 2004</stp>
        <stp>[FA1_j2ahgkxc.xlsx]Stock Value!R8C24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6"/>
      </tp>
      <tp>
        <v>45.68</v>
        <stp/>
        <stp>##V3_BDHV12</stp>
        <stp>AMZN US Equity</stp>
        <stp>PX_HIGH</stp>
        <stp>FQ4 2004</stp>
        <stp>FQ4 2004</stp>
        <stp>[FA1_j2ahgkxc.xlsx]Stock Value!R9C26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9" s="6"/>
      </tp>
      <tp>
        <v>-0.03</v>
        <stp/>
        <stp>##V3_BDHV12</stp>
        <stp>AMZN US Equity</stp>
        <stp>IS_DIL_EPS_BEF_XO</stp>
        <stp>FQ1 2003</stp>
        <stp>FQ1 2003</stp>
        <stp>[FA1_j2ahgkxc.xlsx]Per Share!R18C19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8" s="5"/>
      </tp>
      <tp>
        <v>0.01</v>
        <stp/>
        <stp>##V3_BDHV12</stp>
        <stp>AMZN US Equity</stp>
        <stp>IS_DIL_EPS_BEF_XO</stp>
        <stp>FQ4 2002</stp>
        <stp>FQ4 2002</stp>
        <stp>[FA1_j2ahgkxc.xlsx]Per Share!R18C18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8" s="5"/>
      </tp>
      <tp>
        <v>0.52</v>
        <stp/>
        <stp>##V3_BDHV12</stp>
        <stp>AMZN US Equity</stp>
        <stp>IS_DIL_EPS_BEF_XO</stp>
        <stp>FQ4 2008</stp>
        <stp>FQ4 2008</stp>
        <stp>[FA1_j2ahgkxc.xlsx]Per Share!R18C42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8" s="5"/>
      </tp>
      <tp>
        <v>78</v>
        <stp/>
        <stp>##V3_BDHV12</stp>
        <stp>AMZN US Equity</stp>
        <stp>NI_INCLUDING_MINORITY_INT_RATIO</stp>
        <stp>FQ2 2007</stp>
        <stp>FQ2 2007</stp>
        <stp>[FA1_j2ahgkxc.xlsx]Income - Adjusted!R24C36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4" s="2"/>
      </tp>
      <tp>
        <v>54.146999999999998</v>
        <stp/>
        <stp>##V3_BDHV12</stp>
        <stp>AMZN US Equity</stp>
        <stp>NI_INCLUDING_MINORITY_INT_RATIO</stp>
        <stp>FQ3 2004</stp>
        <stp>FQ3 2004</stp>
        <stp>[FA1_j2ahgkxc.xlsx]Income - Adjusted!R24C25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4" s="2"/>
      </tp>
      <tp>
        <v>143</v>
        <stp/>
        <stp>##V3_BDHV12</stp>
        <stp>AMZN US Equity</stp>
        <stp>NI_INCLUDING_MINORITY_INT_RATIO</stp>
        <stp>FQ1 2008</stp>
        <stp>FQ1 2008</stp>
        <stp>[FA1_j2ahgkxc.xlsx]Income - Adjusted!R24C39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4" s="2"/>
      </tp>
      <tp>
        <v>73.153999999999996</v>
        <stp/>
        <stp>##V3_BDHV12</stp>
        <stp>AMZN US Equity</stp>
        <stp>NI_INCLUDING_MINORITY_INT_RATIO</stp>
        <stp>FQ4 2003</stp>
        <stp>FQ4 2003</stp>
        <stp>[FA1_j2ahgkxc.xlsx]Income - Adjusted!R24C22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4" s="2"/>
      </tp>
      <tp t="s">
        <v>—</v>
        <stp/>
        <stp>##V3_BDHV12</stp>
        <stp>AMZN US Equity</stp>
        <stp>IS_SELLING_EXPENSES</stp>
        <stp>FQ2 2008</stp>
        <stp>FQ2 2008</stp>
        <stp>[FA1_j2ahgkxc.xlsx]Income - Adjusted!R11C40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1" s="2"/>
      </tp>
      <tp>
        <v>-93.552999999999997</v>
        <stp/>
        <stp>##V3_BDHV12</stp>
        <stp>AMZN US Equity</stp>
        <stp>EARN_FOR_COMMON</stp>
        <stp>FQ2 2002</stp>
        <stp>FQ2 2002</stp>
        <stp>[FA1_j2ahgkxc.xlsx]Income - Adjusted!R29C16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9" s="2"/>
      </tp>
      <tp>
        <v>22</v>
        <stp/>
        <stp>##V3_BDHV12</stp>
        <stp>AMZN US Equity</stp>
        <stp>EARN_FOR_COMMON</stp>
        <stp>FQ2 2006</stp>
        <stp>FQ2 2006</stp>
        <stp>[FA1_j2ahgkxc.xlsx]Income - Adjusted!R29C32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9" s="2"/>
      </tp>
      <tp t="s">
        <v>—</v>
        <stp/>
        <stp>##V3_BDHV12</stp>
        <stp>AMZN US Equity</stp>
        <stp>NUM_OF_EMPLOYEES</stp>
        <stp>FQ1 2008</stp>
        <stp>FQ1 2008</stp>
        <stp>[FA1_j2ahgkxc.xlsx]Bal Sheet - Standardized!R70C39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0" s="3"/>
      </tp>
      <tp>
        <v>-0.15</v>
        <stp/>
        <stp>##V3_BDHV12</stp>
        <stp>AMZN US Equity</stp>
        <stp>IS_EPS</stp>
        <stp>FQ4 1998</stp>
        <stp>FQ4 1998</stp>
        <stp>[FA1_j2ahgkxc.xlsx]Income - Adjusted!R35C3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5" s="2"/>
      </tp>
      <tp>
        <v>81.5</v>
        <stp/>
        <stp>##V3_BDHV12</stp>
        <stp>AMZN US Equity</stp>
        <stp>PX_OPEN</stp>
        <stp>FQ1 2000</stp>
        <stp>FQ1 2000</stp>
        <stp>[FA1_j2ahgkxc.xlsx]Stock Value!R8C7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6"/>
      </tp>
      <tp>
        <v>0.18</v>
        <stp/>
        <stp>##V3_BDHV12</stp>
        <stp>AMZN US Equity</stp>
        <stp>IS_EARN_BEF_XO_ITEMS_PER_SH</stp>
        <stp>FQ4 2003</stp>
        <stp>FQ4 2003</stp>
        <stp>[FA1_j2ahgkxc.xlsx]Per Share!R15C22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5" s="5"/>
      </tp>
      <tp>
        <v>0.13</v>
        <stp/>
        <stp>##V3_BDHV12</stp>
        <stp>AMZN US Equity</stp>
        <stp>IS_EARN_BEF_XO_ITEMS_PER_SH</stp>
        <stp>FQ3 2004</stp>
        <stp>FQ3 2004</stp>
        <stp>[FA1_j2ahgkxc.xlsx]Per Share!R15C25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5" s="5"/>
      </tp>
      <tp>
        <v>0.19</v>
        <stp/>
        <stp>##V3_BDHV12</stp>
        <stp>AMZN US Equity</stp>
        <stp>IS_EARN_BEF_XO_ITEMS_PER_SH</stp>
        <stp>FQ2 2007</stp>
        <stp>FQ2 2007</stp>
        <stp>[FA1_j2ahgkxc.xlsx]Per Share!R15C36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5" s="5"/>
      </tp>
      <tp>
        <v>0.34</v>
        <stp/>
        <stp>##V3_BDHV12</stp>
        <stp>AMZN US Equity</stp>
        <stp>IS_EARN_BEF_XO_ITEMS_PER_SH</stp>
        <stp>FQ1 2008</stp>
        <stp>FQ1 2008</stp>
        <stp>[FA1_j2ahgkxc.xlsx]Per Share!R15C39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5" s="5"/>
      </tp>
      <tp>
        <v>290.851</v>
        <stp/>
        <stp>##V3_BDHV12</stp>
        <stp>AMZN US Equity</stp>
        <stp>NET_DEBT_TO_SHRHLDR_EQTY</stp>
        <stp>FQ4 1999</stp>
        <stp>FQ4 1999</stp>
        <stp>[FA1_j2ahgkxc.xlsx]Bal Sheet - Standardized!R66C7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6" s="3"/>
      </tp>
      <tp>
        <v>2.3810000000000002</v>
        <stp/>
        <stp>##V3_BDHV12</stp>
        <stp>AMZN US Equity</stp>
        <stp>BS_ST_BORROW</stp>
        <stp>FQ4 2004</stp>
        <stp>FQ4 2004</stp>
        <stp>[FA1_j2ahgkxc.xlsx]Bal Sheet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3"/>
      </tp>
      <tp>
        <v>6.0380000000000003</v>
        <stp/>
        <stp>##V3_BDHV12</stp>
        <stp>AMZN US Equity</stp>
        <stp>PROC_FR_REPURCH_EQTY_DETAILED</stp>
        <stp>FQ3 2002</stp>
        <stp>FQ3 2002</stp>
        <stp>[FA1_j2ahgkxc.xlsx]Cash Flow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4"/>
      </tp>
      <tp>
        <v>14</v>
        <stp/>
        <stp>##V3_BDHV12</stp>
        <stp>AMZN US Equity</stp>
        <stp>PROC_FR_REPURCH_EQTY_DETAILED</stp>
        <stp>FQ1 2006</stp>
        <stp>FQ1 2006</stp>
        <stp>[FA1_j2ahgkxc.xlsx]Cash Flow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4"/>
      </tp>
      <tp>
        <v>4.2160000000000002</v>
        <stp/>
        <stp>##V3_BDHV12</stp>
        <stp>AMZN US Equity</stp>
        <stp>BS_ST_BORROW</stp>
        <stp>FQ4 2003</stp>
        <stp>FQ4 2003</stp>
        <stp>[FA1_j2ahgkxc.xlsx]Bal Sheet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3"/>
      </tp>
      <tp>
        <v>0</v>
        <stp/>
        <stp>##V3_BDHV12</stp>
        <stp>AMZN US Equity</stp>
        <stp>BS_OTHER_INV</stp>
        <stp>FQ2 2008</stp>
        <stp>FQ2 2008</stp>
        <stp>[FA1_j2ahgkxc.xlsx]Bal Sheet - Standardized!R16C40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6" s="3"/>
      </tp>
      <tp>
        <v>100.932</v>
        <stp/>
        <stp>##V3_BDHV12</stp>
        <stp>AMZN US Equity</stp>
        <stp>PROC_FR_REPURCH_EQTY_DETAILED</stp>
        <stp>FQ3 2001</stp>
        <stp>FQ3 2001</stp>
        <stp>[FA1_j2ahgkxc.xlsx]Cash Flow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4"/>
      </tp>
      <tp>
        <v>66</v>
        <stp/>
        <stp>##V3_BDHV12</stp>
        <stp>AMZN US Equity</stp>
        <stp>PROC_FR_REPURCH_EQTY_DETAILED</stp>
        <stp>FQ1 2008</stp>
        <stp>FQ1 2008</stp>
        <stp>[FA1_j2ahgkxc.xlsx]Cash Flow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4"/>
      </tp>
      <tp>
        <v>-215</v>
        <stp/>
        <stp>##V3_BDHV12</stp>
        <stp>AMZN US Equity</stp>
        <stp>PROC_FR_REPURCH_EQTY_DETAILED</stp>
        <stp>FQ1 2007</stp>
        <stp>FQ1 2007</stp>
        <stp>[FA1_j2ahgkxc.xlsx]Cash Flow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4"/>
      </tp>
      <tp>
        <v>441</v>
        <stp/>
        <stp>##V3_BDHV12</stp>
        <stp>AMZN US Equity</stp>
        <stp>BS_ST_BORROW</stp>
        <stp>FQ2 2008</stp>
        <stp>FQ2 2008</stp>
        <stp>[FA1_j2ahgkxc.xlsx]Bal Sheet - Standardized!R34C40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3"/>
      </tp>
      <tp>
        <v>0</v>
        <stp/>
        <stp>##V3_BDHV12</stp>
        <stp>AMZN US Equity</stp>
        <stp>BS_OTHER_INV</stp>
        <stp>FQ4 2003</stp>
        <stp>FQ4 2003</stp>
        <stp>[FA1_j2ahgkxc.xlsx]Bal Sheet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3"/>
      </tp>
      <tp>
        <v>0.12</v>
        <stp/>
        <stp>##V3_BDHV12</stp>
        <stp>AMZN US Equity</stp>
        <stp>IS_DIL_EPS_CONT_OPS</stp>
        <stp>FQ2 2005</stp>
        <stp>FQ2 2005</stp>
        <stp>[FA1_j2ahgkxc.xlsx]Income - Adjusted!R42C28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2" s="2"/>
      </tp>
      <tp>
        <v>0</v>
        <stp/>
        <stp>##V3_BDHV12</stp>
        <stp>AMZN US Equity</stp>
        <stp>BS_OTHER_INV</stp>
        <stp>FQ4 2004</stp>
        <stp>FQ4 2004</stp>
        <stp>[FA1_j2ahgkxc.xlsx]Bal Sheet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3"/>
      </tp>
      <tp t="s">
        <v>—</v>
        <stp/>
        <stp>##V3_BDHV12</stp>
        <stp>AMZN US Equity</stp>
        <stp>CF_CHANGE_IN_ACCOUNTS_PAYABLE</stp>
        <stp>FQ1 2005</stp>
        <stp>FQ1 2005</stp>
        <stp>[FA1_j2ahgkxc.xlsx]Cash Flow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4"/>
      </tp>
      <tp t="s">
        <v>—</v>
        <stp/>
        <stp>##V3_BDHV12</stp>
        <stp>AMZN US Equity</stp>
        <stp>CF_CHANGE_IN_ACCOUNTS_PAYABLE</stp>
        <stp>FQ2 2001</stp>
        <stp>FQ2 2001</stp>
        <stp>[FA1_j2ahgkxc.xlsx]Cash Flow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4"/>
      </tp>
      <tp t="s">
        <v>—</v>
        <stp/>
        <stp>##V3_BDHV12</stp>
        <stp>AMZN US Equity</stp>
        <stp>CF_CHANGE_IN_ACCOUNTS_PAYABLE</stp>
        <stp>FQ2 2002</stp>
        <stp>FQ2 2002</stp>
        <stp>[FA1_j2ahgkxc.xlsx]Cash Flow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4"/>
      </tp>
      <tp t="s">
        <v>—</v>
        <stp/>
        <stp>##V3_BDHV12</stp>
        <stp>AMZN US Equity</stp>
        <stp>CF_CHANGE_IN_ACCOUNTS_PAYABLE</stp>
        <stp>FQ1 2004</stp>
        <stp>FQ1 2004</stp>
        <stp>[FA1_j2ahgkxc.xlsx]Cash Flow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4"/>
      </tp>
      <tp>
        <v>357.14</v>
        <stp/>
        <stp>##V3_BDHV12</stp>
        <stp>AMZN US Equity</stp>
        <stp>BS_SH_OUT</stp>
        <stp>FQ4 2000</stp>
        <stp>FQ4 2000</stp>
        <stp>[FA1_j2ahgkxc.xlsx]Bal Sheet - Standardized!R59C10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9" s="3"/>
      </tp>
      <tp>
        <v>-4.0659000000000001</v>
        <stp/>
        <stp>##V3_BDHV12</stp>
        <stp>AMZN US Equity</stp>
        <stp>TANG_BOOK_VAL_PER_SH</stp>
        <stp>FQ1 2002</stp>
        <stp>FQ1 2002</stp>
        <stp>[FA1_j2ahgkxc.xlsx]Per Share!R27C15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7" s="5"/>
      </tp>
      <tp>
        <v>0.31409999999999999</v>
        <stp/>
        <stp>##V3_BDHV12</stp>
        <stp>AMZN US Equity</stp>
        <stp>TANG_BOOK_VAL_PER_SH</stp>
        <stp>FQ1 2006</stp>
        <stp>FQ1 2006</stp>
        <stp>[FA1_j2ahgkxc.xlsx]Per Share!R27C31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7" s="5"/>
      </tp>
      <tp>
        <v>-2.4060000000000001</v>
        <stp/>
        <stp>##V3_BDHV12</stp>
        <stp>AMZN US Equity</stp>
        <stp>TANG_BOOK_VAL_PER_SH</stp>
        <stp>FQ1 2004</stp>
        <stp>FQ1 2004</stp>
        <stp>[FA1_j2ahgkxc.xlsx]Per Share!R27C23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7" s="5"/>
      </tp>
      <tp t="s">
        <v>—</v>
        <stp/>
        <stp>##V3_BDHV12</stp>
        <stp>AMZN US Equity</stp>
        <stp>CF_STOCK_BASED_COMPENSATION</stp>
        <stp>FQ3 2001</stp>
        <stp>FQ3 2001</stp>
        <stp>[FA1_j2ahgkxc.xlsx]Cash Flow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4"/>
      </tp>
      <tp t="s">
        <v>—</v>
        <stp/>
        <stp>##V3_BDHV12</stp>
        <stp>AMZN US Equity</stp>
        <stp>CF_STOCK_BASED_COMPENSATION</stp>
        <stp>FQ1 2008</stp>
        <stp>FQ1 2008</stp>
        <stp>[FA1_j2ahgkxc.xlsx]Cash Flow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4"/>
      </tp>
      <tp t="s">
        <v>—</v>
        <stp/>
        <stp>##V3_BDHV12</stp>
        <stp>AMZN US Equity</stp>
        <stp>CF_STOCK_BASED_COMPENSATION</stp>
        <stp>FQ1 2007</stp>
        <stp>FQ1 2007</stp>
        <stp>[FA1_j2ahgkxc.xlsx]Cash Flow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4"/>
      </tp>
      <tp t="s">
        <v>—</v>
        <stp/>
        <stp>##V3_BDHV12</stp>
        <stp>AMZN US Equity</stp>
        <stp>CF_STOCK_BASED_COMPENSATION</stp>
        <stp>FQ3 2002</stp>
        <stp>FQ3 2002</stp>
        <stp>[FA1_j2ahgkxc.xlsx]Cash Flow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4"/>
      </tp>
      <tp t="s">
        <v>—</v>
        <stp/>
        <stp>##V3_BDHV12</stp>
        <stp>AMZN US Equity</stp>
        <stp>CF_STOCK_BASED_COMPENSATION</stp>
        <stp>FQ1 2006</stp>
        <stp>FQ1 2006</stp>
        <stp>[FA1_j2ahgkxc.xlsx]Cash Flow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4"/>
      </tp>
      <tp>
        <v>0</v>
        <stp/>
        <stp>##V3_BDHV12</stp>
        <stp>AMZN US Equity</stp>
        <stp>MIN_NONCONTROL_INTEREST_CREDITS</stp>
        <stp>FQ3 2000</stp>
        <stp>FQ3 2000</stp>
        <stp>[FA1_j2ahgkxc.xlsx]Income - Adjusted!R25C9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5" s="2"/>
      </tp>
      <tp>
        <v>-197.08</v>
        <stp/>
        <stp>##V3_BDHV12</stp>
        <stp>AMZN US Equity</stp>
        <stp>EARN_FOR_COMMON</stp>
        <stp>FQ3 1999</stp>
        <stp>FQ3 1999</stp>
        <stp>[FA1_j2ahgkxc.xlsx]Income - Adjusted!R29C6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9" s="2"/>
      </tp>
      <tp>
        <v>-61.667000000000002</v>
        <stp/>
        <stp>##V3_BDHV12</stp>
        <stp>AMZN US Equity</stp>
        <stp>EARN_FOR_COMMON</stp>
        <stp>FQ1 1999</stp>
        <stp>FQ1 1999</stp>
        <stp>[FA1_j2ahgkxc.xlsx]Income - Adjusted!R29C4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9" s="2"/>
      </tp>
      <tp>
        <v>-240.524</v>
        <stp/>
        <stp>##V3_BDHV12</stp>
        <stp>AMZN US Equity</stp>
        <stp>NI_INCLUDING_MINORITY_INT_RATIO</stp>
        <stp>FQ3 2000</stp>
        <stp>FQ3 2000</stp>
        <stp>[FA1_j2ahgkxc.xlsx]Income - Adjusted!R24C9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4" s="2"/>
      </tp>
      <tp>
        <v>45.44</v>
        <stp/>
        <stp>##V3_BDHV12</stp>
        <stp>AMZN US Equity</stp>
        <stp>PX_HIGH</stp>
        <stp>FQ1 2005</stp>
        <stp>FQ1 2005</stp>
        <stp>[FA1_j2ahgkxc.xlsx]Stock Value!R9C27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9" s="6"/>
      </tp>
      <tp>
        <v>17.93</v>
        <stp/>
        <stp>##V3_BDHV12</stp>
        <stp>AMZN US Equity</stp>
        <stp>PX_HIGH</stp>
        <stp>FQ3 2002</stp>
        <stp>FQ3 2002</stp>
        <stp>[FA1_j2ahgkxc.xlsx]Stock Value!R9C17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9" s="6"/>
      </tp>
      <tp>
        <v>94.26</v>
        <stp/>
        <stp>##V3_BDHV12</stp>
        <stp>AMZN US Equity</stp>
        <stp>PX_HIGH</stp>
        <stp>FQ3 2007</stp>
        <stp>FQ3 2007</stp>
        <stp>[FA1_j2ahgkxc.xlsx]Stock Value!R9C37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9" s="6"/>
      </tp>
      <tp>
        <v>53.78</v>
        <stp/>
        <stp>##V3_BDHV12</stp>
        <stp>AMZN US Equity</stp>
        <stp>PX_OPEN</stp>
        <stp>FQ3 2004</stp>
        <stp>FQ3 2004</stp>
        <stp>[FA1_j2ahgkxc.xlsx]Stock Value!R8C25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6"/>
      </tp>
      <tp>
        <v>38.68</v>
        <stp/>
        <stp>##V3_BDHV12</stp>
        <stp>AMZN US Equity</stp>
        <stp>PX_OPEN</stp>
        <stp>FQ1 2007</stp>
        <stp>FQ1 2007</stp>
        <stp>[FA1_j2ahgkxc.xlsx]Stock Value!R8C35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6"/>
      </tp>
      <tp>
        <v>10.935</v>
        <stp/>
        <stp>##V3_BDHV12</stp>
        <stp>AMZN US Equity</stp>
        <stp>PX_OPEN</stp>
        <stp>FQ1 2002</stp>
        <stp>FQ1 2002</stp>
        <stp>[FA1_j2ahgkxc.xlsx]Stock Value!R8C15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6"/>
      </tp>
      <tp>
        <v>76.48</v>
        <stp/>
        <stp>##V3_BDHV12</stp>
        <stp>AMZN US Equity</stp>
        <stp>NI_INCLUDING_MINORITY_INT_RATIO</stp>
        <stp>FQ2 2004</stp>
        <stp>FQ2 2004</stp>
        <stp>[FA1_j2ahgkxc.xlsx]Income - Adjusted!R24C24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4" s="2"/>
      </tp>
      <tp>
        <v>80</v>
        <stp/>
        <stp>##V3_BDHV12</stp>
        <stp>AMZN US Equity</stp>
        <stp>NI_INCLUDING_MINORITY_INT_RATIO</stp>
        <stp>FQ3 2007</stp>
        <stp>FQ3 2007</stp>
        <stp>[FA1_j2ahgkxc.xlsx]Income - Adjusted!R24C37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4" s="2"/>
      </tp>
      <tp>
        <v>-234.131</v>
        <stp/>
        <stp>##V3_BDHV12</stp>
        <stp>AMZN US Equity</stp>
        <stp>NI_INCLUDING_MINORITY_INT_RATIO</stp>
        <stp>FQ1 2001</stp>
        <stp>FQ1 2001</stp>
        <stp>[FA1_j2ahgkxc.xlsx]Income - Adjusted!R24C11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4" s="2"/>
      </tp>
      <tp>
        <v>-545.14</v>
        <stp/>
        <stp>##V3_BDHV12</stp>
        <stp>AMZN US Equity</stp>
        <stp>NI_INCLUDING_MINORITY_INT_RATIO</stp>
        <stp>FQ4 2000</stp>
        <stp>FQ4 2000</stp>
        <stp>[FA1_j2ahgkxc.xlsx]Income - Adjusted!R24C10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4" s="2"/>
      </tp>
      <tp t="s">
        <v>—</v>
        <stp/>
        <stp>##V3_BDHV12</stp>
        <stp>AMZN US Equity</stp>
        <stp>BS_OPTIONS_OUTSTANDING</stp>
        <stp>FQ1 2002</stp>
        <stp>FQ1 2002</stp>
        <stp>[FA1_j2ahgkxc.xlsx]Bal Sheet - Standardized!R64C15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4" s="3"/>
      </tp>
      <tp t="s">
        <v>—</v>
        <stp/>
        <stp>##V3_BDHV12</stp>
        <stp>AMZN US Equity</stp>
        <stp>BS_OPTIONS_OUTSTANDING</stp>
        <stp>FQ2 2002</stp>
        <stp>FQ2 2002</stp>
        <stp>[FA1_j2ahgkxc.xlsx]Bal Sheet - Standardized!R64C16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4" s="3"/>
      </tp>
      <tp t="s">
        <v>—</v>
        <stp/>
        <stp>##V3_BDHV12</stp>
        <stp>AMZN US Equity</stp>
        <stp>BS_OPTIONS_OUTSTANDING</stp>
        <stp>FQ3 2002</stp>
        <stp>FQ3 2002</stp>
        <stp>[FA1_j2ahgkxc.xlsx]Bal Sheet - Standardized!R64C17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4" s="3"/>
      </tp>
      <tp t="s">
        <v>—</v>
        <stp/>
        <stp>##V3_BDHV12</stp>
        <stp>AMZN US Equity</stp>
        <stp>BS_OPTIONS_OUTSTANDING</stp>
        <stp>FQ4 2004</stp>
        <stp>FQ4 2004</stp>
        <stp>[FA1_j2ahgkxc.xlsx]Bal Sheet - Standardized!R64C26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4" s="3"/>
      </tp>
      <tp t="s">
        <v>—</v>
        <stp/>
        <stp>##V3_BDHV12</stp>
        <stp>AMZN US Equity</stp>
        <stp>BS_OPTIONS_OUTSTANDING</stp>
        <stp>FQ1 2004</stp>
        <stp>FQ1 2004</stp>
        <stp>[FA1_j2ahgkxc.xlsx]Bal Sheet - Standardized!R64C23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4" s="3"/>
      </tp>
      <tp>
        <v>7.4</v>
        <stp/>
        <stp>##V3_BDHV12</stp>
        <stp>AMZN US Equity</stp>
        <stp>BS_OPTIONS_OUTSTANDING</stp>
        <stp>FQ4 2006</stp>
        <stp>FQ4 2006</stp>
        <stp>[FA1_j2ahgkxc.xlsx]Bal Sheet - Standardized!R64C34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4" s="3"/>
      </tp>
      <tp t="s">
        <v>—</v>
        <stp/>
        <stp>##V3_BDHV12</stp>
        <stp>AMZN US Equity</stp>
        <stp>BS_OPTIONS_OUTSTANDING</stp>
        <stp>FQ2 2006</stp>
        <stp>FQ2 2006</stp>
        <stp>[FA1_j2ahgkxc.xlsx]Bal Sheet - Standardized!R64C32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4" s="3"/>
      </tp>
      <tp t="s">
        <v>—</v>
        <stp/>
        <stp>##V3_BDHV12</stp>
        <stp>AMZN US Equity</stp>
        <stp>BS_OPTIONS_OUTSTANDING</stp>
        <stp>FQ3 2006</stp>
        <stp>FQ3 2006</stp>
        <stp>[FA1_j2ahgkxc.xlsx]Bal Sheet - Standardized!R64C33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4" s="3"/>
      </tp>
      <tp t="s">
        <v>—</v>
        <stp/>
        <stp>##V3_BDHV12</stp>
        <stp>AMZN US Equity</stp>
        <stp>BS_OPTIONS_OUTSTANDING</stp>
        <stp>FQ1 2006</stp>
        <stp>FQ1 2006</stp>
        <stp>[FA1_j2ahgkxc.xlsx]Bal Sheet - Standardized!R64C31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4" s="3"/>
      </tp>
      <tp t="s">
        <v>—</v>
        <stp/>
        <stp>##V3_BDHV12</stp>
        <stp>AMZN US Equity</stp>
        <stp>IS_SELLING_EXPENSES</stp>
        <stp>FQ3 2008</stp>
        <stp>FQ3 2008</stp>
        <stp>[FA1_j2ahgkxc.xlsx]Income - Adjusted!R11C41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1" s="2"/>
      </tp>
      <tp>
        <v>0</v>
        <stp/>
        <stp>##V3_BDHV12</stp>
        <stp>AMZN US Equity</stp>
        <stp>MIN_NONCONTROL_INTEREST_CREDITS</stp>
        <stp>FQ4 2007</stp>
        <stp>FQ4 2007</stp>
        <stp>[FA1_j2ahgkxc.xlsx]Income - Adjusted!R25C38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5" s="2"/>
      </tp>
      <tp>
        <v>199</v>
        <stp/>
        <stp>##V3_BDHV12</stp>
        <stp>AMZN US Equity</stp>
        <stp>EARN_FOR_COMMON</stp>
        <stp>FQ4 2005</stp>
        <stp>FQ4 2005</stp>
        <stp>[FA1_j2ahgkxc.xlsx]Income - Adjusted!R29C30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9" s="2"/>
      </tp>
      <tp>
        <v>5.0869999999999997</v>
        <stp/>
        <stp>##V3_BDHV12</stp>
        <stp>AMZN US Equity</stp>
        <stp>EARN_FOR_COMMON</stp>
        <stp>FQ4 2001</stp>
        <stp>FQ4 2001</stp>
        <stp>[FA1_j2ahgkxc.xlsx]Income - Adjusted!R29C14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9" s="2"/>
      </tp>
      <tp>
        <v>-35.08</v>
        <stp/>
        <stp>##V3_BDHV12</stp>
        <stp>AMZN US Equity</stp>
        <stp>EARN_FOR_COMMON</stp>
        <stp>FQ3 2002</stp>
        <stp>FQ3 2002</stp>
        <stp>[FA1_j2ahgkxc.xlsx]Income - Adjusted!R29C17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9" s="2"/>
      </tp>
      <tp>
        <v>19</v>
        <stp/>
        <stp>##V3_BDHV12</stp>
        <stp>AMZN US Equity</stp>
        <stp>EARN_FOR_COMMON</stp>
        <stp>FQ3 2006</stp>
        <stp>FQ3 2006</stp>
        <stp>[FA1_j2ahgkxc.xlsx]Income - Adjusted!R29C33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9" s="2"/>
      </tp>
      <tp>
        <v>1008.881</v>
        <stp/>
        <stp>##V3_BDHV12</stp>
        <stp>AMZN US Equity</stp>
        <stp>C&amp;CE_AND_STI_DETAILED</stp>
        <stp>FQ1 2000</stp>
        <stp>FQ1 2000</stp>
        <stp>[FA1_j2ahgkxc.xlsx]Bal Sheet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900.024</v>
        <stp/>
        <stp>##V3_BDHV12</stp>
        <stp>AMZN US Equity</stp>
        <stp>C&amp;CE_AND_STI_DETAILED</stp>
        <stp>FQ3 2000</stp>
        <stp>FQ3 2000</stp>
        <stp>[FA1_j2ahgkxc.xlsx]Bal Sheet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3"/>
      </tp>
      <tp>
        <v>-0.96</v>
        <stp/>
        <stp>##V3_BDHV12</stp>
        <stp>AMZN US Equity</stp>
        <stp>IS_EPS</stp>
        <stp>FQ4 1999</stp>
        <stp>FQ4 1999</stp>
        <stp>[FA1_j2ahgkxc.xlsx]Income - Adjusted!R35C7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5" s="2"/>
      </tp>
      <tp>
        <v>-0.59</v>
        <stp/>
        <stp>##V3_BDHV12</stp>
        <stp>AMZN US Equity</stp>
        <stp>IS_EPS</stp>
        <stp>FQ3 1999</stp>
        <stp>FQ3 1999</stp>
        <stp>[FA1_j2ahgkxc.xlsx]Income - Adjusted!R35C6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5" s="2"/>
      </tp>
      <tp>
        <v>-0.43</v>
        <stp/>
        <stp>##V3_BDHV12</stp>
        <stp>AMZN US Equity</stp>
        <stp>IS_EPS</stp>
        <stp>FQ2 1999</stp>
        <stp>FQ2 1999</stp>
        <stp>[FA1_j2ahgkxc.xlsx]Income - Adjusted!R35C5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5" s="2"/>
      </tp>
      <tp>
        <v>-0.2</v>
        <stp/>
        <stp>##V3_BDHV12</stp>
        <stp>AMZN US Equity</stp>
        <stp>IS_EPS</stp>
        <stp>FQ1 1999</stp>
        <stp>FQ1 1999</stp>
        <stp>[FA1_j2ahgkxc.xlsx]Income - Adjusted!R35C4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5" s="2"/>
      </tp>
      <tp>
        <v>12000</v>
        <stp/>
        <stp>##V3_BDHV12</stp>
        <stp>AMZN US Equity</stp>
        <stp>NUM_OF_EMPLOYEES</stp>
        <stp>FQ4 2005</stp>
        <stp>FQ4 2005</stp>
        <stp>[FA1_j2ahgkxc.xlsx]Bal Sheet - Standardized!R70C30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0" s="3"/>
      </tp>
      <tp>
        <v>-0.55000000000000004</v>
        <stp/>
        <stp>##V3_BDHV12</stp>
        <stp>AMZN US Equity</stp>
        <stp>IS_DIL_EPS_CONT_OPS</stp>
        <stp>FQ4 1999</stp>
        <stp>FQ4 1999</stp>
        <stp>[FA1_j2ahgkxc.xlsx]Income - Adjusted!R42C7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2" s="2"/>
      </tp>
      <tp t="s">
        <v>—</v>
        <stp/>
        <stp>##V3_BDHV12</stp>
        <stp>AMZN US Equity</stp>
        <stp>NUM_OF_EMPLOYEES</stp>
        <stp>FQ1 2001</stp>
        <stp>FQ1 2001</stp>
        <stp>[FA1_j2ahgkxc.xlsx]Bal Sheet - Standardized!R70C11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0" s="3"/>
      </tp>
      <tp t="s">
        <v>—</v>
        <stp/>
        <stp>##V3_BDHV12</stp>
        <stp>AMZN US Equity</stp>
        <stp>NUM_OF_EMPLOYEES</stp>
        <stp>FQ3 2001</stp>
        <stp>FQ3 2001</stp>
        <stp>[FA1_j2ahgkxc.xlsx]Bal Sheet - Standardized!R70C13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0" s="3"/>
      </tp>
      <tp t="s">
        <v>—</v>
        <stp/>
        <stp>##V3_BDHV12</stp>
        <stp>AMZN US Equity</stp>
        <stp>NUM_OF_EMPLOYEES</stp>
        <stp>FQ2 2001</stp>
        <stp>FQ2 2001</stp>
        <stp>[FA1_j2ahgkxc.xlsx]Bal Sheet - Standardized!R70C12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0" s="3"/>
      </tp>
      <tp t="s">
        <v>—</v>
        <stp/>
        <stp>##V3_BDHV12</stp>
        <stp>AMZN US Equity</stp>
        <stp>NUM_OF_EMPLOYEES</stp>
        <stp>FQ4 2001</stp>
        <stp>FQ4 2001</stp>
        <stp>[FA1_j2ahgkxc.xlsx]Bal Sheet - Standardized!R70C14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0" s="3"/>
      </tp>
      <tp>
        <v>-1.53</v>
        <stp/>
        <stp>##V3_BDHV12</stp>
        <stp>AMZN US Equity</stp>
        <stp>IS_EARN_BEF_XO_ITEMS_PER_SH</stp>
        <stp>FQ4 2000</stp>
        <stp>FQ4 2000</stp>
        <stp>[FA1_j2ahgkxc.xlsx]Per Share!R15C10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5" s="5"/>
      </tp>
      <tp>
        <v>0.19</v>
        <stp/>
        <stp>##V3_BDHV12</stp>
        <stp>AMZN US Equity</stp>
        <stp>IS_EARN_BEF_XO_ITEMS_PER_SH</stp>
        <stp>FQ3 2007</stp>
        <stp>FQ3 2007</stp>
        <stp>[FA1_j2ahgkxc.xlsx]Per Share!R15C37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5" s="5"/>
      </tp>
      <tp>
        <v>0.19</v>
        <stp/>
        <stp>##V3_BDHV12</stp>
        <stp>AMZN US Equity</stp>
        <stp>IS_EARN_BEF_XO_ITEMS_PER_SH</stp>
        <stp>FQ2 2004</stp>
        <stp>FQ2 2004</stp>
        <stp>[FA1_j2ahgkxc.xlsx]Per Share!R15C24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5" s="5"/>
      </tp>
      <tp>
        <v>-0.63</v>
        <stp/>
        <stp>##V3_BDHV12</stp>
        <stp>AMZN US Equity</stp>
        <stp>IS_EARN_BEF_XO_ITEMS_PER_SH</stp>
        <stp>FQ1 2001</stp>
        <stp>FQ1 2001</stp>
        <stp>[FA1_j2ahgkxc.xlsx]Per Share!R15C11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5" s="5"/>
      </tp>
      <tp t="s">
        <v>—</v>
        <stp/>
        <stp>##V3_BDHV12</stp>
        <stp>AMZN US Equity</stp>
        <stp>NUM_OF_EMPLOYEES</stp>
        <stp>FQ2 2003</stp>
        <stp>FQ2 2003</stp>
        <stp>[FA1_j2ahgkxc.xlsx]Bal Sheet - Standardized!R70C20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0" s="3"/>
      </tp>
      <tp t="s">
        <v>—</v>
        <stp/>
        <stp>##V3_BDHV12</stp>
        <stp>AMZN US Equity</stp>
        <stp>NUM_OF_EMPLOYEES</stp>
        <stp>FQ3 2003</stp>
        <stp>FQ3 2003</stp>
        <stp>[FA1_j2ahgkxc.xlsx]Bal Sheet - Standardized!R70C21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0" s="3"/>
      </tp>
      <tp>
        <v>0</v>
        <stp/>
        <stp>##V3_BDHV12</stp>
        <stp>AMZN US Equity</stp>
        <stp>BS_NUM_OF_TSY_SH</stp>
        <stp>FQ3 2000</stp>
        <stp>FQ3 2000</stp>
        <stp>[FA1_j2ahgkxc.xlsx]Bal Sheet - Standardized!R60C9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0" s="3"/>
      </tp>
      <tp>
        <v>337.14600000000002</v>
        <stp/>
        <stp>##V3_BDHV12</stp>
        <stp>AMZN US Equity</stp>
        <stp>FREE_CASH_FLOW_EQUITY</stp>
        <stp>FQ4 2001</stp>
        <stp>FQ4 2001</stp>
        <stp>[FA1_j2ahgkxc.xlsx]Cash Flow - Standardized!R51C14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1" s="4"/>
      </tp>
      <tp>
        <v>51</v>
        <stp/>
        <stp>##V3_BDHV12</stp>
        <stp>AMZN US Equity</stp>
        <stp>BS_ST_BORROW</stp>
        <stp>FQ4 2006</stp>
        <stp>FQ4 2006</stp>
        <stp>[FA1_j2ahgkxc.xlsx]Bal Sheet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3"/>
      </tp>
      <tp t="s">
        <v>—</v>
        <stp/>
        <stp>##V3_BDHV12</stp>
        <stp>AMZN US Equity</stp>
        <stp>BS_OTHER_INV</stp>
        <stp>FQ4 2007</stp>
        <stp>FQ4 2007</stp>
        <stp>[FA1_j2ahgkxc.xlsx]Bal Sheet - Standardized!R16C38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6" s="3"/>
      </tp>
      <tp>
        <v>42.866</v>
        <stp/>
        <stp>##V3_BDHV12</stp>
        <stp>AMZN US Equity</stp>
        <stp>PROC_FR_REPURCH_EQTY_DETAILED</stp>
        <stp>FQ2 2002</stp>
        <stp>FQ2 2002</stp>
        <stp>[FA1_j2ahgkxc.xlsx]Cash Flow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4"/>
      </tp>
      <tp>
        <v>14.814</v>
        <stp/>
        <stp>##V3_BDHV12</stp>
        <stp>AMZN US Equity</stp>
        <stp>PROC_FR_REPURCH_EQTY_DETAILED</stp>
        <stp>FQ1 2004</stp>
        <stp>FQ1 2004</stp>
        <stp>[FA1_j2ahgkxc.xlsx]Cash Flow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4"/>
      </tp>
      <tp>
        <v>0</v>
        <stp/>
        <stp>##V3_BDHV12</stp>
        <stp>AMZN US Equity</stp>
        <stp>BS_OTHER_INV</stp>
        <stp>FQ3 2008</stp>
        <stp>FQ3 2008</stp>
        <stp>[FA1_j2ahgkxc.xlsx]Bal Sheet - Standardized!R16C41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6" s="3"/>
      </tp>
      <tp>
        <v>7.6440000000000001</v>
        <stp/>
        <stp>##V3_BDHV12</stp>
        <stp>AMZN US Equity</stp>
        <stp>PROC_FR_REPURCH_EQTY_DETAILED</stp>
        <stp>FQ2 2001</stp>
        <stp>FQ2 2001</stp>
        <stp>[FA1_j2ahgkxc.xlsx]Cash Flow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4"/>
      </tp>
      <tp>
        <v>222.69800000000001</v>
        <stp/>
        <stp>##V3_BDHV12</stp>
        <stp>AMZN US Equity</stp>
        <stp>FREE_CASH_FLOW_EQUITY</stp>
        <stp>FQ4 2000</stp>
        <stp>FQ4 2000</stp>
        <stp>[FA1_j2ahgkxc.xlsx]Cash Flow - Standardized!R51C10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1" s="4"/>
      </tp>
      <tp>
        <v>9</v>
        <stp/>
        <stp>##V3_BDHV12</stp>
        <stp>AMZN US Equity</stp>
        <stp>PROC_FR_REPURCH_EQTY_DETAILED</stp>
        <stp>FQ1 2005</stp>
        <stp>FQ1 2005</stp>
        <stp>[FA1_j2ahgkxc.xlsx]Cash Flow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4"/>
      </tp>
      <tp>
        <v>-1352.8140000000001</v>
        <stp/>
        <stp>##V3_BDHV12</stp>
        <stp>AMZN US Equity</stp>
        <stp>TOTAL_EQUITY</stp>
        <stp>FQ4 2002</stp>
        <stp>FQ4 2002</stp>
        <stp>[FA1_j2ahgkxc.xlsx]Bal Sheet - Standardized!R54C18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4" s="3"/>
      </tp>
      <tp>
        <v>5</v>
        <stp/>
        <stp>##V3_BDHV12</stp>
        <stp>AMZN US Equity</stp>
        <stp>BS_ST_BORROW</stp>
        <stp>FQ4 2005</stp>
        <stp>FQ4 2005</stp>
        <stp>[FA1_j2ahgkxc.xlsx]Bal Sheet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3"/>
      </tp>
      <tp>
        <v>0</v>
        <stp/>
        <stp>##V3_BDHV12</stp>
        <stp>AMZN US Equity</stp>
        <stp>BS_OTHER_INV</stp>
        <stp>FQ4 2005</stp>
        <stp>FQ4 2005</stp>
        <stp>[FA1_j2ahgkxc.xlsx]Bal Sheet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3"/>
      </tp>
      <tp>
        <v>-1440</v>
        <stp/>
        <stp>##V3_BDHV12</stp>
        <stp>AMZN US Equity</stp>
        <stp>TOTAL_EQUITY</stp>
        <stp>FQ4 2001</stp>
        <stp>FQ4 2001</stp>
        <stp>[FA1_j2ahgkxc.xlsx]Bal Sheet - Standardized!R54C14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4" s="3"/>
      </tp>
      <tp>
        <v>42</v>
        <stp/>
        <stp>##V3_BDHV12</stp>
        <stp>AMZN US Equity</stp>
        <stp>BS_ST_BORROW</stp>
        <stp>FQ3 2008</stp>
        <stp>FQ3 2008</stp>
        <stp>[FA1_j2ahgkxc.xlsx]Bal Sheet - Standardized!R34C41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3"/>
      </tp>
      <tp>
        <v>-967.25099999999998</v>
        <stp/>
        <stp>##V3_BDHV12</stp>
        <stp>AMZN US Equity</stp>
        <stp>TOTAL_EQUITY</stp>
        <stp>FQ4 2000</stp>
        <stp>FQ4 2000</stp>
        <stp>[FA1_j2ahgkxc.xlsx]Bal Sheet - Standardized!R54C10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4" s="3"/>
      </tp>
      <tp>
        <v>43</v>
        <stp/>
        <stp>##V3_BDHV12</stp>
        <stp>AMZN US Equity</stp>
        <stp>BS_ST_BORROW</stp>
        <stp>FQ4 2007</stp>
        <stp>FQ4 2007</stp>
        <stp>[FA1_j2ahgkxc.xlsx]Bal Sheet - Standardized!R34C38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3"/>
      </tp>
      <tp>
        <v>0.13</v>
        <stp/>
        <stp>##V3_BDHV12</stp>
        <stp>AMZN US Equity</stp>
        <stp>IS_DIL_EPS_CONT_OPS</stp>
        <stp>FQ3 2005</stp>
        <stp>FQ3 2005</stp>
        <stp>[FA1_j2ahgkxc.xlsx]Income - Adjusted!R42C29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2" s="2"/>
      </tp>
      <tp>
        <v>354.38900000000001</v>
        <stp/>
        <stp>##V3_BDHV12</stp>
        <stp>AMZN US Equity</stp>
        <stp>FREE_CASH_FLOW_EQUITY</stp>
        <stp>FQ4 2002</stp>
        <stp>FQ4 2002</stp>
        <stp>[FA1_j2ahgkxc.xlsx]Cash Flow - Standardized!R51C18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1" s="4"/>
      </tp>
      <tp>
        <v>0</v>
        <stp/>
        <stp>##V3_BDHV12</stp>
        <stp>AMZN US Equity</stp>
        <stp>BS_OTHER_INV</stp>
        <stp>FQ4 2006</stp>
        <stp>FQ4 2006</stp>
        <stp>[FA1_j2ahgkxc.xlsx]Bal Sheet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3"/>
      </tp>
      <tp>
        <v>-602</v>
        <stp/>
        <stp>##V3_BDHV12</stp>
        <stp>AMZN US Equity</stp>
        <stp>CF_CHANGE_IN_ACCOUNTS_PAYABLE</stp>
        <stp>FQ1 2007</stp>
        <stp>FQ1 2007</stp>
        <stp>[FA1_j2ahgkxc.xlsx]Cash Flow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4"/>
      </tp>
      <tp t="s">
        <v>—</v>
        <stp/>
        <stp>##V3_BDHV12</stp>
        <stp>AMZN US Equity</stp>
        <stp>CF_CHANGE_IN_ACCOUNTS_PAYABLE</stp>
        <stp>FQ3 2001</stp>
        <stp>FQ3 2001</stp>
        <stp>[FA1_j2ahgkxc.xlsx]Cash Flow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4"/>
      </tp>
      <tp t="s">
        <v>—</v>
        <stp/>
        <stp>##V3_BDHV12</stp>
        <stp>AMZN US Equity</stp>
        <stp>CF_CHANGE_IN_ACCOUNTS_PAYABLE</stp>
        <stp>FQ1 2008</stp>
        <stp>FQ1 2008</stp>
        <stp>[FA1_j2ahgkxc.xlsx]Cash Flow - Standardized!R16C39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6" s="4"/>
      </tp>
      <tp t="s">
        <v>—</v>
        <stp/>
        <stp>##V3_BDHV12</stp>
        <stp>AMZN US Equity</stp>
        <stp>CF_CHANGE_IN_ACCOUNTS_PAYABLE</stp>
        <stp>FQ3 2002</stp>
        <stp>FQ3 2002</stp>
        <stp>[FA1_j2ahgkxc.xlsx]Cash Flow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4"/>
      </tp>
      <tp t="s">
        <v>—</v>
        <stp/>
        <stp>##V3_BDHV12</stp>
        <stp>AMZN US Equity</stp>
        <stp>CF_CHANGE_IN_ACCOUNTS_PAYABLE</stp>
        <stp>FQ1 2006</stp>
        <stp>FQ1 2006</stp>
        <stp>[FA1_j2ahgkxc.xlsx]Cash Flow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4"/>
      </tp>
      <tp>
        <v>403.35399999999998</v>
        <stp/>
        <stp>##V3_BDHV12</stp>
        <stp>AMZN US Equity</stp>
        <stp>BS_SH_OUT</stp>
        <stp>FQ4 2003</stp>
        <stp>FQ4 2003</stp>
        <stp>[FA1_j2ahgkxc.xlsx]Bal Sheet - Standardized!R59C22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9" s="3"/>
      </tp>
      <tp t="s">
        <v>—</v>
        <stp/>
        <stp>##V3_BDHV12</stp>
        <stp>AMZN US Equity</stp>
        <stp>CF_STOCK_BASED_COMPENSATION</stp>
        <stp>FQ2 2001</stp>
        <stp>FQ2 2001</stp>
        <stp>[FA1_j2ahgkxc.xlsx]Cash Flow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4"/>
      </tp>
      <tp t="s">
        <v>—</v>
        <stp/>
        <stp>##V3_BDHV12</stp>
        <stp>AMZN US Equity</stp>
        <stp>CF_STOCK_BASED_COMPENSATION</stp>
        <stp>FQ1 2005</stp>
        <stp>FQ1 2005</stp>
        <stp>[FA1_j2ahgkxc.xlsx]Cash Flow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4"/>
      </tp>
      <tp t="s">
        <v>—</v>
        <stp/>
        <stp>##V3_BDHV12</stp>
        <stp>AMZN US Equity</stp>
        <stp>CF_STOCK_BASED_COMPENSATION</stp>
        <stp>FQ2 2002</stp>
        <stp>FQ2 2002</stp>
        <stp>[FA1_j2ahgkxc.xlsx]Cash Flow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4"/>
      </tp>
      <tp t="s">
        <v>—</v>
        <stp/>
        <stp>##V3_BDHV12</stp>
        <stp>AMZN US Equity</stp>
        <stp>CF_STOCK_BASED_COMPENSATION</stp>
        <stp>FQ1 2004</stp>
        <stp>FQ1 2004</stp>
        <stp>[FA1_j2ahgkxc.xlsx]Cash Flow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4"/>
      </tp>
      <tp>
        <v>-105.196</v>
        <stp/>
        <stp>##V3_BDHV12</stp>
        <stp>AMZN US Equity</stp>
        <stp>CHG_IN_FXD_&amp;_INTANG_AST_DETAILED</stp>
        <stp>FQ4 1999</stp>
        <stp>FQ4 1999</stp>
        <stp>[FA1_j2ahgkxc.xlsx]Cash Flow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4"/>
      </tp>
      <tp>
        <v>-19.062000000000001</v>
        <stp/>
        <stp>##V3_BDHV12</stp>
        <stp>AMZN US Equity</stp>
        <stp>CHG_IN_FXD_&amp;_INTANG_AST_DETAILED</stp>
        <stp>FQ1 1999</stp>
        <stp>FQ1 1999</stp>
        <stp>[FA1_j2ahgkxc.xlsx]Cash Flow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4"/>
      </tp>
      <tp>
        <v>-92.034999999999997</v>
        <stp/>
        <stp>##V3_BDHV12</stp>
        <stp>AMZN US Equity</stp>
        <stp>CHG_IN_FXD_&amp;_INTANG_AST_DETAILED</stp>
        <stp>FQ2 1999</stp>
        <stp>FQ2 1999</stp>
        <stp>[FA1_j2ahgkxc.xlsx]Cash Flow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4"/>
      </tp>
      <tp>
        <v>-70.762</v>
        <stp/>
        <stp>##V3_BDHV12</stp>
        <stp>AMZN US Equity</stp>
        <stp>CHG_IN_FXD_&amp;_INTANG_AST_DETAILED</stp>
        <stp>FQ3 1999</stp>
        <stp>FQ3 1999</stp>
        <stp>[FA1_j2ahgkxc.xlsx]Cash Flow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4"/>
      </tp>
      <tp>
        <v>36.99</v>
        <stp/>
        <stp>##V3_BDHV12</stp>
        <stp>AMZN US Equity</stp>
        <stp>PX_HIGH</stp>
        <stp>FQ2 2005</stp>
        <stp>FQ2 2005</stp>
        <stp>[FA1_j2ahgkxc.xlsx]Stock Value!R9C28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9" s="6"/>
      </tp>
      <tp>
        <v>-0.25</v>
        <stp/>
        <stp>##V3_BDHV12</stp>
        <stp>AMZN US Equity</stp>
        <stp>IS_DIL_EPS_BEF_XO</stp>
        <stp>FQ2 2002</stp>
        <stp>FQ2 2002</stp>
        <stp>[FA1_j2ahgkxc.xlsx]Per Share!R18C16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8" s="5"/>
      </tp>
      <tp>
        <v>0.05</v>
        <stp/>
        <stp>##V3_BDHV12</stp>
        <stp>AMZN US Equity</stp>
        <stp>IS_DIL_EPS_BEF_XO</stp>
        <stp>FQ2 2006</stp>
        <stp>FQ2 2006</stp>
        <stp>[FA1_j2ahgkxc.xlsx]Per Share!R18C32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8" s="5"/>
      </tp>
      <tp>
        <v>101.09</v>
        <stp/>
        <stp>##V3_BDHV12</stp>
        <stp>AMZN US Equity</stp>
        <stp>PX_HIGH</stp>
        <stp>FQ4 2007</stp>
        <stp>FQ4 2007</stp>
        <stp>[FA1_j2ahgkxc.xlsx]Stock Value!R9C38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9" s="6"/>
      </tp>
      <tp>
        <v>25</v>
        <stp/>
        <stp>##V3_BDHV12</stp>
        <stp>AMZN US Equity</stp>
        <stp>PX_HIGH</stp>
        <stp>FQ4 2002</stp>
        <stp>FQ4 2002</stp>
        <stp>[FA1_j2ahgkxc.xlsx]Stock Value!R9C18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9" s="6"/>
      </tp>
      <tp>
        <v>207</v>
        <stp/>
        <stp>##V3_BDHV12</stp>
        <stp>AMZN US Equity</stp>
        <stp>NI_INCLUDING_MINORITY_INT_RATIO</stp>
        <stp>FQ4 2007</stp>
        <stp>FQ4 2007</stp>
        <stp>[FA1_j2ahgkxc.xlsx]Income - Adjusted!R24C38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4" s="2"/>
      </tp>
      <tp>
        <v>0</v>
        <stp/>
        <stp>##V3_BDHV12</stp>
        <stp>AMZN US Equity</stp>
        <stp>MIN_NONCONTROL_INTEREST_CREDITS</stp>
        <stp>FQ4 2000</stp>
        <stp>FQ4 2000</stp>
        <stp>[FA1_j2ahgkxc.xlsx]Income - Adjusted!R25C10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5" s="2"/>
      </tp>
      <tp>
        <v>0</v>
        <stp/>
        <stp>##V3_BDHV12</stp>
        <stp>AMZN US Equity</stp>
        <stp>MIN_NONCONTROL_INTEREST_CREDITS</stp>
        <stp>FQ3 2007</stp>
        <stp>FQ3 2007</stp>
        <stp>[FA1_j2ahgkxc.xlsx]Income - Adjusted!R25C37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5" s="2"/>
      </tp>
      <tp>
        <v>0</v>
        <stp/>
        <stp>##V3_BDHV12</stp>
        <stp>AMZN US Equity</stp>
        <stp>MIN_NONCONTROL_INTEREST_CREDITS</stp>
        <stp>FQ2 2004</stp>
        <stp>FQ2 2004</stp>
        <stp>[FA1_j2ahgkxc.xlsx]Income - Adjusted!R25C24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5" s="2"/>
      </tp>
      <tp>
        <v>0</v>
        <stp/>
        <stp>##V3_BDHV12</stp>
        <stp>AMZN US Equity</stp>
        <stp>MIN_NONCONTROL_INTEREST_CREDITS</stp>
        <stp>FQ1 2001</stp>
        <stp>FQ1 2001</stp>
        <stp>[FA1_j2ahgkxc.xlsx]Income - Adjusted!R25C11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5" s="2"/>
      </tp>
      <tp>
        <v>225</v>
        <stp/>
        <stp>##V3_BDHV12</stp>
        <stp>AMZN US Equity</stp>
        <stp>EARN_FOR_COMMON</stp>
        <stp>FQ4 2008</stp>
        <stp>FQ4 2008</stp>
        <stp>[FA1_j2ahgkxc.xlsx]Income - Adjusted!R29C42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9" s="2"/>
      </tp>
      <tp>
        <v>2.6509999999999998</v>
        <stp/>
        <stp>##V3_BDHV12</stp>
        <stp>AMZN US Equity</stp>
        <stp>EARN_FOR_COMMON</stp>
        <stp>FQ4 2002</stp>
        <stp>FQ4 2002</stp>
        <stp>[FA1_j2ahgkxc.xlsx]Income - Adjusted!R29C18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9" s="2"/>
      </tp>
      <tp>
        <v>-10.121</v>
        <stp/>
        <stp>##V3_BDHV12</stp>
        <stp>AMZN US Equity</stp>
        <stp>EARN_FOR_COMMON</stp>
        <stp>FQ1 2003</stp>
        <stp>FQ1 2003</stp>
        <stp>[FA1_j2ahgkxc.xlsx]Income - Adjusted!R29C19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9" s="2"/>
      </tp>
      <tp>
        <v>54.615000000000002</v>
        <stp/>
        <stp>##V3_BDHV12</stp>
        <stp>AMZN US Equity</stp>
        <stp>PX_OPEN</stp>
        <stp>FQ1 1999</stp>
        <stp>FQ1 1999</stp>
        <stp>[FA1_j2ahgkxc.xlsx]Stock Value!R8C3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6"/>
      </tp>
      <tp t="s">
        <v>—</v>
        <stp/>
        <stp>##V3_BDHV12</stp>
        <stp>AMZN US Equity</stp>
        <stp>CF_FREE_CASH_FLOW_FIRM</stp>
        <stp>FQ1 1999</stp>
        <stp>FQ1 1999</stp>
        <stp>[FA1_j2ahgkxc.xlsx]Cash Flow - Standardized!R50C3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50" s="4"/>
      </tp>
      <tp>
        <v>20700</v>
        <stp/>
        <stp>##V3_BDHV12</stp>
        <stp>AMZN US Equity</stp>
        <stp>NUM_OF_EMPLOYEES</stp>
        <stp>FQ4 2008</stp>
        <stp>FQ4 2008</stp>
        <stp>[FA1_j2ahgkxc.xlsx]Bal Sheet - Standardized!R70C42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0" s="3"/>
      </tp>
      <tp t="s">
        <v>—</v>
        <stp/>
        <stp>##V3_BDHV12</stp>
        <stp>AMZN US Equity</stp>
        <stp>CF_FREE_CASH_FLOW_FIRM</stp>
        <stp>FQ4 1999</stp>
        <stp>FQ4 1999</stp>
        <stp>[FA1_j2ahgkxc.xlsx]Cash Flow - Standardized!R50C6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50" s="4"/>
      </tp>
      <tp>
        <v>36.688000000000002</v>
        <stp/>
        <stp>##V3_BDHV12</stp>
        <stp>AMZN US Equity</stp>
        <stp>PX_OPEN</stp>
        <stp>FQ3 2000</stp>
        <stp>FQ3 2000</stp>
        <stp>[FA1_j2ahgkxc.xlsx]Stock Value!R8C9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6"/>
      </tp>
      <tp>
        <v>0.5</v>
        <stp/>
        <stp>##V3_BDHV12</stp>
        <stp>AMZN US Equity</stp>
        <stp>IS_EARN_BEF_XO_ITEMS_PER_SH</stp>
        <stp>FQ4 2007</stp>
        <stp>FQ4 2007</stp>
        <stp>[FA1_j2ahgkxc.xlsx]Per Share!R15C38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5" s="5"/>
      </tp>
      <tp t="s">
        <v>—</v>
        <stp/>
        <stp>##V3_BDHV12</stp>
        <stp>AMZN US Equity</stp>
        <stp>NUM_OF_EMPLOYEES</stp>
        <stp>FQ4 2002</stp>
        <stp>FQ4 2002</stp>
        <stp>[FA1_j2ahgkxc.xlsx]Bal Sheet - Standardized!R70C18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0" s="3"/>
      </tp>
      <tp>
        <v>0</v>
        <stp/>
        <stp>##V3_BDHV12</stp>
        <stp>AMZN US Equity</stp>
        <stp>BS_NUM_OF_TSY_SH</stp>
        <stp>FQ3 1999</stp>
        <stp>FQ3 1999</stp>
        <stp>[FA1_j2ahgkxc.xlsx]Bal Sheet - Standardized!R60C6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0" s="3"/>
      </tp>
      <tp>
        <v>0</v>
        <stp/>
        <stp>##V3_BDHV12</stp>
        <stp>AMZN US Equity</stp>
        <stp>BS_NUM_OF_TSY_SH</stp>
        <stp>FQ1 1999</stp>
        <stp>FQ1 1999</stp>
        <stp>[FA1_j2ahgkxc.xlsx]Bal Sheet - Standardized!R60C4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0" s="3"/>
      </tp>
      <tp t="s">
        <v>—</v>
        <stp/>
        <stp>##V3_BDHV12</stp>
        <stp>AMZN US Equity</stp>
        <stp>ST_CAPITAL_LEASE_OBLIGATIONS</stp>
        <stp>FQ2 2008</stp>
        <stp>FQ2 2008</stp>
        <stp>[FA1_j2ahgkxc.xlsx]Bal Sheet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3"/>
      </tp>
      <tp>
        <v>3.9E-2</v>
        <stp/>
        <stp>##V3_BDHV12</stp>
        <stp>AMZN US Equity</stp>
        <stp>CF_ACT_CASH_PAID_FOR_INT_DEBT</stp>
        <stp>FQ4 2004</stp>
        <stp>FQ4 2004</stp>
        <stp>[FA1_j2ahgkxc.xlsx]Cash Flow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4"/>
      </tp>
      <tp>
        <v>25.693200000000001</v>
        <stp/>
        <stp>##V3_BDHV12</stp>
        <stp>AMZN US Equity</stp>
        <stp>CHG_PCT_PERIOD</stp>
        <stp>FQ2 2004</stp>
        <stp>FQ2 2004</stp>
        <stp>[FA1_j2ahgkxc.xlsx]Stock Value!R7C24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6"/>
      </tp>
      <tp>
        <v>1324</v>
        <stp/>
        <stp>##V3_BDHV12</stp>
        <stp>AMZN US Equity</stp>
        <stp>NON_CUR_LIAB</stp>
        <stp>FQ2 2006</stp>
        <stp>FQ2 2006</stp>
        <stp>[FA1_j2ahgkxc.xlsx]Bal Sheet - Standardized!R45C32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5" s="3"/>
      </tp>
      <tp>
        <v>3.1120000000000001</v>
        <stp/>
        <stp>##V3_BDHV12</stp>
        <stp>AMZN US Equity</stp>
        <stp>CF_ACT_CASH_PAID_FOR_INT_DEBT</stp>
        <stp>FQ4 2003</stp>
        <stp>FQ4 2003</stp>
        <stp>[FA1_j2ahgkxc.xlsx]Cash Flow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4"/>
      </tp>
      <tp t="s">
        <v>—</v>
        <stp/>
        <stp>##V3_BDHV12</stp>
        <stp>AMZN US Equity</stp>
        <stp>CHG_PCT_PERIOD</stp>
        <stp>FQ4 2001</stp>
        <stp>FQ4 2001</stp>
        <stp>[FA1_j2ahgkxc.xlsx]Stock Value!R7C14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6"/>
      </tp>
      <tp>
        <v>22.851800000000001</v>
        <stp/>
        <stp>##V3_BDHV12</stp>
        <stp>AMZN US Equity</stp>
        <stp>CHG_PCT_PERIOD</stp>
        <stp>FQ4 2006</stp>
        <stp>FQ4 2006</stp>
        <stp>[FA1_j2ahgkxc.xlsx]Stock Value!R7C34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6"/>
      </tp>
      <tp>
        <v>2080.9690000000001</v>
        <stp/>
        <stp>##V3_BDHV12</stp>
        <stp>AMZN US Equity</stp>
        <stp>NON_CUR_LIAB</stp>
        <stp>FQ3 2003</stp>
        <stp>FQ3 2003</stp>
        <stp>[FA1_j2ahgkxc.xlsx]Bal Sheet - Standardized!R45C21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5" s="3"/>
      </tp>
      <tp>
        <v>1778.722</v>
        <stp/>
        <stp>##V3_BDHV12</stp>
        <stp>AMZN US Equity</stp>
        <stp>NON_CUR_LIAB</stp>
        <stp>FQ3 2004</stp>
        <stp>FQ3 2004</stp>
        <stp>[FA1_j2ahgkxc.xlsx]Bal Sheet - Standardized!R45C25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5" s="3"/>
      </tp>
      <tp>
        <v>1498</v>
        <stp/>
        <stp>##V3_BDHV12</stp>
        <stp>AMZN US Equity</stp>
        <stp>NON_CUR_LIAB</stp>
        <stp>FQ2 2007</stp>
        <stp>FQ2 2007</stp>
        <stp>[FA1_j2ahgkxc.xlsx]Bal Sheet - Standardized!R45C36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5" s="3"/>
      </tp>
      <tp>
        <v>1513</v>
        <stp/>
        <stp>##V3_BDHV12</stp>
        <stp>AMZN US Equity</stp>
        <stp>NON_CUR_LIAB</stp>
        <stp>FQ3 2005</stp>
        <stp>FQ3 2005</stp>
        <stp>[FA1_j2ahgkxc.xlsx]Bal Sheet - Standardized!R45C29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5" s="3"/>
      </tp>
      <tp>
        <v>1.2290000000000001</v>
        <stp/>
        <stp>##V3_BDHV12</stp>
        <stp>AMZN US Equity</stp>
        <stp>ST_CAPITAL_LEASE_OBLIGATIONS</stp>
        <stp>FQ4 2004</stp>
        <stp>FQ4 2004</stp>
        <stp>[FA1_j2ahgkxc.xlsx]Bal Sheet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3"/>
      </tp>
      <tp>
        <v>1</v>
        <stp/>
        <stp>##V3_BDHV12</stp>
        <stp>AMZN US Equity</stp>
        <stp>CF_ACT_CASH_PAID_FOR_INT_DEBT</stp>
        <stp>FQ2 2008</stp>
        <stp>FQ2 2008</stp>
        <stp>[FA1_j2ahgkxc.xlsx]Cash Flow - Standardized!R42C40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4"/>
      </tp>
      <tp t="s">
        <v>—</v>
        <stp/>
        <stp>##V3_BDHV12</stp>
        <stp>AMZN US Equity</stp>
        <stp>ST_CAPITAL_LEASE_OBLIGATIONS</stp>
        <stp>FQ4 2003</stp>
        <stp>FQ4 2003</stp>
        <stp>[FA1_j2ahgkxc.xlsx]Bal Sheet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3"/>
      </tp>
      <tp>
        <v>0.1</v>
        <stp/>
        <stp>##V3_BDHV12</stp>
        <stp>AMZN US Equity</stp>
        <stp>IS_DIL_EPS_CONT_OPS</stp>
        <stp>FQ2 2003</stp>
        <stp>FQ2 2003</stp>
        <stp>[FA1_j2ahgkxc.xlsx]Income - Adjusted!R42C20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2" s="2"/>
      </tp>
      <tp>
        <v>-0.16</v>
        <stp/>
        <stp>##V3_BDHV12</stp>
        <stp>AMZN US Equity</stp>
        <stp>IS_DIL_EPS_CONT_OPS</stp>
        <stp>FQ2 2001</stp>
        <stp>FQ2 2001</stp>
        <stp>[FA1_j2ahgkxc.xlsx]Income - Adjusted!R42C12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2" s="2"/>
      </tp>
      <tp t="s">
        <v>—</v>
        <stp/>
        <stp>##V3_BDHV12</stp>
        <stp>AMZN US Equity</stp>
        <stp>NET_CHG_IN_LT_INVEST_DETAILED</stp>
        <stp>FQ4 2008</stp>
        <stp>FQ4 2008</stp>
        <stp>[FA1_j2ahgkxc.xlsx]Cash Flow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4"/>
      </tp>
      <tp>
        <v>0</v>
        <stp/>
        <stp>##V3_BDHV12</stp>
        <stp>AMZN US Equity</stp>
        <stp>NET_CHG_IN_LT_INVEST_DETAILED</stp>
        <stp>FQ2 2005</stp>
        <stp>FQ2 2005</stp>
        <stp>[FA1_j2ahgkxc.xlsx]Cash Flow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4"/>
      </tp>
      <tp>
        <v>0</v>
        <stp/>
        <stp>##V3_BDHV12</stp>
        <stp>AMZN US Equity</stp>
        <stp>NET_CHG_IN_LT_INVEST_DETAILED</stp>
        <stp>FQ1 2003</stp>
        <stp>FQ1 2003</stp>
        <stp>[FA1_j2ahgkxc.xlsx]Cash Flow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4"/>
      </tp>
      <tp>
        <v>0.51500000000000001</v>
        <stp/>
        <stp>##V3_BDHV12</stp>
        <stp>AMZN US Equity</stp>
        <stp>LT_CAPITAL_LEASE_OBLIGATIONS</stp>
        <stp>FQ4 2004</stp>
        <stp>FQ4 2004</stp>
        <stp>[FA1_j2ahgkxc.xlsx]Bal Sheet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3"/>
      </tp>
      <tp t="s">
        <v>—</v>
        <stp/>
        <stp>##V3_BDHV12</stp>
        <stp>AMZN US Equity</stp>
        <stp>LT_CAPITAL_LEASE_OBLIGATIONS</stp>
        <stp>FQ4 2003</stp>
        <stp>FQ4 2003</stp>
        <stp>[FA1_j2ahgkxc.xlsx]Bal Sheet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3"/>
      </tp>
      <tp>
        <v>2.3479999999999999</v>
        <stp/>
        <stp>##V3_BDHV12</stp>
        <stp>AMZN US Equity</stp>
        <stp>NET_CHG_IN_LT_INVEST_DETAILED</stp>
        <stp>FQ1 2002</stp>
        <stp>FQ1 2002</stp>
        <stp>[FA1_j2ahgkxc.xlsx]Cash Flow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4"/>
      </tp>
      <tp>
        <v>0</v>
        <stp/>
        <stp>##V3_BDHV12</stp>
        <stp>AMZN US Equity</stp>
        <stp>NET_CHG_IN_LT_INVEST_DETAILED</stp>
        <stp>FQ3 2006</stp>
        <stp>FQ3 2006</stp>
        <stp>[FA1_j2ahgkxc.xlsx]Cash Flow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4"/>
      </tp>
      <tp>
        <v>-0.68</v>
        <stp/>
        <stp>##V3_BDHV12</stp>
        <stp>AMZN US Equity</stp>
        <stp>IS_DILUTED_EPS</stp>
        <stp>FQ3 2000</stp>
        <stp>FQ3 2000</stp>
        <stp>[FA1_j2ahgkxc.xlsx]Per Share!R17C9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7" s="5"/>
      </tp>
      <tp>
        <v>-0.9</v>
        <stp/>
        <stp>##V3_BDHV12</stp>
        <stp>AMZN US Equity</stp>
        <stp>IS_DILUTED_EPS</stp>
        <stp>FQ1 2000</stp>
        <stp>FQ1 2000</stp>
        <stp>[FA1_j2ahgkxc.xlsx]Per Share!R17C8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7" s="5"/>
      </tp>
      <tp t="s">
        <v>—</v>
        <stp/>
        <stp>##V3_BDHV12</stp>
        <stp>AMZN US Equity</stp>
        <stp>LT_CAPITAL_LEASE_OBLIGATIONS</stp>
        <stp>FQ2 2008</stp>
        <stp>FQ2 2008</stp>
        <stp>[FA1_j2ahgkxc.xlsx]Bal Sheet - Standardized!R42C40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3"/>
      </tp>
      <tp>
        <v>2990</v>
        <stp/>
        <stp>##V3_BDHV12</stp>
        <stp>AMZN US Equity</stp>
        <stp>BS_TOT_ASSET</stp>
        <stp>FQ1 2006</stp>
        <stp>FQ1 2006</stp>
        <stp>[FA1_j2ahgkxc.xlsx]Bal Sheet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3"/>
      </tp>
      <tp>
        <v>1497.405</v>
        <stp/>
        <stp>##V3_BDHV12</stp>
        <stp>AMZN US Equity</stp>
        <stp>BS_TOT_ASSET</stp>
        <stp>FQ3 2002</stp>
        <stp>FQ3 2002</stp>
        <stp>[FA1_j2ahgkxc.xlsx]Bal Sheet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3"/>
      </tp>
      <tp>
        <v>0</v>
        <stp/>
        <stp>##V3_BDHV12</stp>
        <stp>AMZN US Equity</stp>
        <stp>NET_CHG_IN_LT_INVEST_DETAILED</stp>
        <stp>FQ2 2004</stp>
        <stp>FQ2 2004</stp>
        <stp>[FA1_j2ahgkxc.xlsx]Cash Flow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4"/>
      </tp>
      <tp>
        <v>1346.3679999999999</v>
        <stp/>
        <stp>##V3_BDHV12</stp>
        <stp>AMZN US Equity</stp>
        <stp>BS_TOT_ASSET</stp>
        <stp>FQ3 2001</stp>
        <stp>FQ3 2001</stp>
        <stp>[FA1_j2ahgkxc.xlsx]Bal Sheet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3"/>
      </tp>
      <tp>
        <v>0</v>
        <stp/>
        <stp>##V3_BDHV12</stp>
        <stp>AMZN US Equity</stp>
        <stp>NET_CHG_IN_LT_INVEST_DETAILED</stp>
        <stp>FQ3 2007</stp>
        <stp>FQ3 2007</stp>
        <stp>[FA1_j2ahgkxc.xlsx]Cash Flow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4"/>
      </tp>
      <tp>
        <v>5883</v>
        <stp/>
        <stp>##V3_BDHV12</stp>
        <stp>AMZN US Equity</stp>
        <stp>BS_TOT_ASSET</stp>
        <stp>FQ1 2008</stp>
        <stp>FQ1 2008</stp>
        <stp>[FA1_j2ahgkxc.xlsx]Bal Sheet - Standardized!R29C39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9" s="3"/>
      </tp>
      <tp>
        <v>3661</v>
        <stp/>
        <stp>##V3_BDHV12</stp>
        <stp>AMZN US Equity</stp>
        <stp>BS_TOT_ASSET</stp>
        <stp>FQ1 2007</stp>
        <stp>FQ1 2007</stp>
        <stp>[FA1_j2ahgkxc.xlsx]Bal Sheet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3"/>
      </tp>
      <tp>
        <v>63.988</v>
        <stp/>
        <stp>##V3_BDHV12</stp>
        <stp>AMZN US Equity</stp>
        <stp>NET_CHG_IN_LT_INVEST_DETAILED</stp>
        <stp>FQ1 2001</stp>
        <stp>FQ1 2001</stp>
        <stp>[FA1_j2ahgkxc.xlsx]Cash Flow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4"/>
      </tp>
      <tp>
        <v>0</v>
        <stp/>
        <stp>##V3_BDHV12</stp>
        <stp>AMZN US Equity</stp>
        <stp>NET_CHG_IN_LT_INVEST_DETAILED</stp>
        <stp>FQ2 2003</stp>
        <stp>FQ2 2003</stp>
        <stp>[FA1_j2ahgkxc.xlsx]Cash Flow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4"/>
      </tp>
      <tp t="s">
        <v>—</v>
        <stp/>
        <stp>##V3_BDHV12</stp>
        <stp>AMZN US Equity</stp>
        <stp>OTHER_ADJUSTMENTS</stp>
        <stp>FQ4 1998</stp>
        <stp>FQ4 1998</stp>
        <stp>[FA1_j2ahgkxc.xlsx]Income - Adjusted!R28C3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2"/>
      </tp>
      <tp>
        <v>4.9463999999999997</v>
        <stp/>
        <stp>##V3_BDHV12</stp>
        <stp>AMZN US Equity</stp>
        <stp>TANG_BOOK_VAL_PER_SH</stp>
        <stp>FQ3 2008</stp>
        <stp>FQ3 2008</stp>
        <stp>[FA1_j2ahgkxc.xlsx]Per Share!R27C41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7" s="5"/>
      </tp>
      <tp t="s">
        <v>—</v>
        <stp/>
        <stp>##V3_BDHV12</stp>
        <stp>AMZN US Equity</stp>
        <stp>OTHER_ADJUSTMENTS</stp>
        <stp>FQ4 1999</stp>
        <stp>FQ4 1999</stp>
        <stp>[FA1_j2ahgkxc.xlsx]Income - Adjusted!R28C7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2"/>
      </tp>
      <tp>
        <v>172.25700000000001</v>
        <stp/>
        <stp>##V3_BDHV12</stp>
        <stp>AMZN US Equity</stp>
        <stp>INVTRY_FINISHED_GOODS</stp>
        <stp>FQ1 2000</stp>
        <stp>FQ1 2000</stp>
        <stp>[FA1_j2ahgkxc.xlsx]Bal Sheet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429</v>
        <stp/>
        <stp>##V3_BDHV12</stp>
        <stp>AMZN US Equity</stp>
        <stp>BS_SH_OUT</stp>
        <stp>FQ3 2008</stp>
        <stp>FQ3 2008</stp>
        <stp>[FA1_j2ahgkxc.xlsx]Bal Sheet - Standardized!R59C41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9" s="3"/>
      </tp>
      <tp>
        <v>426</v>
        <stp/>
        <stp>##V3_BDHV12</stp>
        <stp>AMZN US Equity</stp>
        <stp>BS_SH_OUT</stp>
        <stp>FQ2 2008</stp>
        <stp>FQ2 2008</stp>
        <stp>[FA1_j2ahgkxc.xlsx]Bal Sheet - Standardized!R59C40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9" s="3"/>
      </tp>
      <tp>
        <v>163.88</v>
        <stp/>
        <stp>##V3_BDHV12</stp>
        <stp>AMZN US Equity</stp>
        <stp>INVTRY_FINISHED_GOODS</stp>
        <stp>FQ3 2000</stp>
        <stp>FQ3 2000</stp>
        <stp>[FA1_j2ahgkxc.xlsx]Bal Sheet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97.43</v>
        <stp/>
        <stp>##V3_BDHV12</stp>
        <stp>AMZN US Equity</stp>
        <stp>PX_HIGH</stp>
        <stp>FQ1 2008</stp>
        <stp>FQ1 2008</stp>
        <stp>[FA1_j2ahgkxc.xlsx]Stock Value!R9C39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9" s="6"/>
      </tp>
      <tp>
        <v>28.04</v>
        <stp/>
        <stp>##V3_BDHV12</stp>
        <stp>AMZN US Equity</stp>
        <stp>PX_HIGH</stp>
        <stp>FQ1 2003</stp>
        <stp>FQ1 2003</stp>
        <stp>[FA1_j2ahgkxc.xlsx]Stock Value!R9C19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9" s="6"/>
      </tp>
      <tp>
        <v>46.97</v>
        <stp/>
        <stp>##V3_BDHV12</stp>
        <stp>AMZN US Equity</stp>
        <stp>PX_HIGH</stp>
        <stp>FQ3 2005</stp>
        <stp>FQ3 2005</stp>
        <stp>[FA1_j2ahgkxc.xlsx]Stock Value!R9C29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9" s="6"/>
      </tp>
      <tp>
        <v>-0.09</v>
        <stp/>
        <stp>##V3_BDHV12</stp>
        <stp>AMZN US Equity</stp>
        <stp>IS_DIL_EPS_BEF_XO</stp>
        <stp>FQ3 2002</stp>
        <stp>FQ3 2002</stp>
        <stp>[FA1_j2ahgkxc.xlsx]Per Share!R18C17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8" s="5"/>
      </tp>
      <tp>
        <v>0.05</v>
        <stp/>
        <stp>##V3_BDHV12</stp>
        <stp>AMZN US Equity</stp>
        <stp>IS_DIL_EPS_BEF_XO</stp>
        <stp>FQ3 2006</stp>
        <stp>FQ3 2006</stp>
        <stp>[FA1_j2ahgkxc.xlsx]Per Share!R18C33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8" s="5"/>
      </tp>
      <tp>
        <v>0.47</v>
        <stp/>
        <stp>##V3_BDHV12</stp>
        <stp>AMZN US Equity</stp>
        <stp>IS_DIL_EPS_BEF_XO</stp>
        <stp>FQ4 2005</stp>
        <stp>FQ4 2005</stp>
        <stp>[FA1_j2ahgkxc.xlsx]Per Share!R18C30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8" s="5"/>
      </tp>
      <tp>
        <v>0.01</v>
        <stp/>
        <stp>##V3_BDHV12</stp>
        <stp>AMZN US Equity</stp>
        <stp>IS_DIL_EPS_BEF_XO</stp>
        <stp>FQ4 2001</stp>
        <stp>FQ4 2001</stp>
        <stp>[FA1_j2ahgkxc.xlsx]Per Share!R18C14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8" s="5"/>
      </tp>
      <tp t="s">
        <v>—</v>
        <stp/>
        <stp>##V3_BDHV12</stp>
        <stp>AMZN US Equity</stp>
        <stp>IS_SELLING_EXPENSES</stp>
        <stp>FQ1 2004</stp>
        <stp>FQ1 2004</stp>
        <stp>[FA1_j2ahgkxc.xlsx]Income - Adjusted!R11C23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1" s="2"/>
      </tp>
      <tp t="s">
        <v>—</v>
        <stp/>
        <stp>##V3_BDHV12</stp>
        <stp>AMZN US Equity</stp>
        <stp>IS_SELLING_EXPENSES</stp>
        <stp>FQ1 2006</stp>
        <stp>FQ1 2006</stp>
        <stp>[FA1_j2ahgkxc.xlsx]Income - Adjusted!R11C31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1" s="2"/>
      </tp>
      <tp t="s">
        <v>—</v>
        <stp/>
        <stp>##V3_BDHV12</stp>
        <stp>AMZN US Equity</stp>
        <stp>IS_SELLING_EXPENSES</stp>
        <stp>FQ1 2002</stp>
        <stp>FQ1 2002</stp>
        <stp>[FA1_j2ahgkxc.xlsx]Income - Adjusted!R11C15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1" s="2"/>
      </tp>
      <tp>
        <v>0</v>
        <stp/>
        <stp>##V3_BDHV12</stp>
        <stp>AMZN US Equity</stp>
        <stp>MIN_NONCONTROL_INTEREST_CREDITS</stp>
        <stp>FQ4 2003</stp>
        <stp>FQ4 2003</stp>
        <stp>[FA1_j2ahgkxc.xlsx]Income - Adjusted!R25C22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5" s="2"/>
      </tp>
      <tp>
        <v>0</v>
        <stp/>
        <stp>##V3_BDHV12</stp>
        <stp>AMZN US Equity</stp>
        <stp>MIN_NONCONTROL_INTEREST_CREDITS</stp>
        <stp>FQ3 2004</stp>
        <stp>FQ3 2004</stp>
        <stp>[FA1_j2ahgkxc.xlsx]Income - Adjusted!R25C25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5" s="2"/>
      </tp>
      <tp>
        <v>0</v>
        <stp/>
        <stp>##V3_BDHV12</stp>
        <stp>AMZN US Equity</stp>
        <stp>MIN_NONCONTROL_INTEREST_CREDITS</stp>
        <stp>FQ2 2007</stp>
        <stp>FQ2 2007</stp>
        <stp>[FA1_j2ahgkxc.xlsx]Income - Adjusted!R25C36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5" s="2"/>
      </tp>
      <tp>
        <v>0</v>
        <stp/>
        <stp>##V3_BDHV12</stp>
        <stp>AMZN US Equity</stp>
        <stp>MIN_NONCONTROL_INTEREST_CREDITS</stp>
        <stp>FQ1 2008</stp>
        <stp>FQ1 2008</stp>
        <stp>[FA1_j2ahgkxc.xlsx]Income - Adjusted!R25C39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5" s="2"/>
      </tp>
      <tp>
        <v>65.438000000000002</v>
        <stp/>
        <stp>##V3_BDHV12</stp>
        <stp>AMZN US Equity</stp>
        <stp>PX_OPEN</stp>
        <stp>FQ2 2000</stp>
        <stp>FQ2 2000</stp>
        <stp>[FA1_j2ahgkxc.xlsx]Stock Value!R8C8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6"/>
      </tp>
      <tp t="s">
        <v>—</v>
        <stp/>
        <stp>##V3_BDHV12</stp>
        <stp>AMZN US Equity</stp>
        <stp>NUM_OF_EMPLOYEES</stp>
        <stp>FQ2 2005</stp>
        <stp>FQ2 2005</stp>
        <stp>[FA1_j2ahgkxc.xlsx]Bal Sheet - Standardized!R70C28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0" s="3"/>
      </tp>
      <tp t="s">
        <v>—</v>
        <stp/>
        <stp>##V3_BDHV12</stp>
        <stp>AMZN US Equity</stp>
        <stp>NUM_OF_EMPLOYEES</stp>
        <stp>FQ3 2005</stp>
        <stp>FQ3 2005</stp>
        <stp>[FA1_j2ahgkxc.xlsx]Bal Sheet - Standardized!R70C29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0" s="3"/>
      </tp>
      <tp>
        <v>26</v>
        <stp/>
        <stp>##V3_BDHV12</stp>
        <stp>AMZN US Equity</stp>
        <stp>ST_CAPITAL_LEASE_OBLIGATIONS</stp>
        <stp>FQ4 2007</stp>
        <stp>FQ4 2007</stp>
        <stp>[FA1_j2ahgkxc.xlsx]Bal Sheet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3"/>
      </tp>
      <tp t="s">
        <v>—</v>
        <stp/>
        <stp>##V3_BDHV12</stp>
        <stp>AMZN US Equity</stp>
        <stp>ST_CAPITAL_LEASE_OBLIGATIONS</stp>
        <stp>FQ3 2008</stp>
        <stp>FQ3 2008</stp>
        <stp>[FA1_j2ahgkxc.xlsx]Bal Sheet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3"/>
      </tp>
      <tp>
        <v>0.83630000000000004</v>
        <stp/>
        <stp>##V3_BDHV12</stp>
        <stp>AMZN US Equity</stp>
        <stp>CHG_PCT_PERIOD</stp>
        <stp>FQ1 2007</stp>
        <stp>FQ1 2007</stp>
        <stp>[FA1_j2ahgkxc.xlsx]Stock Value!R7C35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6"/>
      </tp>
      <tp>
        <v>1</v>
        <stp/>
        <stp>##V3_BDHV12</stp>
        <stp>AMZN US Equity</stp>
        <stp>CF_ACT_CASH_PAID_FOR_INT_DEBT</stp>
        <stp>FQ4 2006</stp>
        <stp>FQ4 2006</stp>
        <stp>[FA1_j2ahgkxc.xlsx]Cash Flow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4"/>
      </tp>
      <tp>
        <v>32.162700000000001</v>
        <stp/>
        <stp>##V3_BDHV12</stp>
        <stp>AMZN US Equity</stp>
        <stp>CHG_PCT_PERIOD</stp>
        <stp>FQ1 2002</stp>
        <stp>FQ1 2002</stp>
        <stp>[FA1_j2ahgkxc.xlsx]Stock Value!R7C15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6"/>
      </tp>
      <tp>
        <v>1304</v>
        <stp/>
        <stp>##V3_BDHV12</stp>
        <stp>AMZN US Equity</stp>
        <stp>NON_CUR_LIAB</stp>
        <stp>FQ3 2006</stp>
        <stp>FQ3 2006</stp>
        <stp>[FA1_j2ahgkxc.xlsx]Bal Sheet - Standardized!R45C33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5" s="3"/>
      </tp>
      <tp>
        <v>2152.2728999999999</v>
        <stp/>
        <stp>##V3_BDHV12</stp>
        <stp>AMZN US Equity</stp>
        <stp>NON_CUR_LIAB</stp>
        <stp>FQ1 2002</stp>
        <stp>FQ1 2002</stp>
        <stp>[FA1_j2ahgkxc.xlsx]Bal Sheet - Standardized!R45C15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5" s="3"/>
      </tp>
      <tp>
        <v>-24.889700000000001</v>
        <stp/>
        <stp>##V3_BDHV12</stp>
        <stp>AMZN US Equity</stp>
        <stp>CHG_PCT_PERIOD</stp>
        <stp>FQ3 2004</stp>
        <stp>FQ3 2004</stp>
        <stp>[FA1_j2ahgkxc.xlsx]Stock Value!R7C25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6"/>
      </tp>
      <tp>
        <v>2118.8560000000002</v>
        <stp/>
        <stp>##V3_BDHV12</stp>
        <stp>AMZN US Equity</stp>
        <stp>NON_CUR_LIAB</stp>
        <stp>FQ1 2001</stp>
        <stp>FQ1 2001</stp>
        <stp>[FA1_j2ahgkxc.xlsx]Bal Sheet - Standardized!R45C11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5" s="3"/>
      </tp>
      <tp>
        <v>2074.3058999999998</v>
        <stp/>
        <stp>##V3_BDHV12</stp>
        <stp>AMZN US Equity</stp>
        <stp>NON_CUR_LIAB</stp>
        <stp>FQ2 2003</stp>
        <stp>FQ2 2003</stp>
        <stp>[FA1_j2ahgkxc.xlsx]Bal Sheet - Standardized!R45C20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5" s="3"/>
      </tp>
      <tp>
        <v>0</v>
        <stp/>
        <stp>##V3_BDHV12</stp>
        <stp>AMZN US Equity</stp>
        <stp>CF_ACT_CASH_PAID_FOR_INT_DEBT</stp>
        <stp>FQ4 2005</stp>
        <stp>FQ4 2005</stp>
        <stp>[FA1_j2ahgkxc.xlsx]Cash Flow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4"/>
      </tp>
      <tp>
        <v>1762.614</v>
        <stp/>
        <stp>##V3_BDHV12</stp>
        <stp>AMZN US Equity</stp>
        <stp>NON_CUR_LIAB</stp>
        <stp>FQ2 2004</stp>
        <stp>FQ2 2004</stp>
        <stp>[FA1_j2ahgkxc.xlsx]Bal Sheet - Standardized!R45C24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5" s="3"/>
      </tp>
      <tp>
        <v>1538</v>
        <stp/>
        <stp>##V3_BDHV12</stp>
        <stp>AMZN US Equity</stp>
        <stp>NON_CUR_LIAB</stp>
        <stp>FQ3 2007</stp>
        <stp>FQ3 2007</stp>
        <stp>[FA1_j2ahgkxc.xlsx]Bal Sheet - Standardized!R45C37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5" s="3"/>
      </tp>
      <tp>
        <v>2</v>
        <stp/>
        <stp>##V3_BDHV12</stp>
        <stp>AMZN US Equity</stp>
        <stp>ST_CAPITAL_LEASE_OBLIGATIONS</stp>
        <stp>FQ4 2005</stp>
        <stp>FQ4 2005</stp>
        <stp>[FA1_j2ahgkxc.xlsx]Bal Sheet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3"/>
      </tp>
      <tp>
        <v>896</v>
        <stp/>
        <stp>##V3_BDHV12</stp>
        <stp>AMZN US Equity</stp>
        <stp>NON_CUR_LIAB</stp>
        <stp>FQ4 2008</stp>
        <stp>FQ4 2008</stp>
        <stp>[FA1_j2ahgkxc.xlsx]Bal Sheet - Standardized!R45C42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5" s="3"/>
      </tp>
      <tp>
        <v>1521</v>
        <stp/>
        <stp>##V3_BDHV12</stp>
        <stp>AMZN US Equity</stp>
        <stp>NON_CUR_LIAB</stp>
        <stp>FQ2 2005</stp>
        <stp>FQ2 2005</stp>
        <stp>[FA1_j2ahgkxc.xlsx]Bal Sheet - Standardized!R45C28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5" s="3"/>
      </tp>
      <tp>
        <v>1</v>
        <stp/>
        <stp>##V3_BDHV12</stp>
        <stp>AMZN US Equity</stp>
        <stp>CF_ACT_CASH_PAID_FOR_INT_DEBT</stp>
        <stp>FQ4 2007</stp>
        <stp>FQ4 2007</stp>
        <stp>[FA1_j2ahgkxc.xlsx]Cash Flow - Standardized!R42C38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4"/>
      </tp>
      <tp>
        <v>35</v>
        <stp/>
        <stp>##V3_BDHV12</stp>
        <stp>AMZN US Equity</stp>
        <stp>ST_CAPITAL_LEASE_OBLIGATIONS</stp>
        <stp>FQ4 2006</stp>
        <stp>FQ4 2006</stp>
        <stp>[FA1_j2ahgkxc.xlsx]Bal Sheet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3"/>
      </tp>
      <tp>
        <v>14</v>
        <stp/>
        <stp>##V3_BDHV12</stp>
        <stp>AMZN US Equity</stp>
        <stp>CF_ACT_CASH_PAID_FOR_INT_DEBT</stp>
        <stp>FQ3 2008</stp>
        <stp>FQ3 2008</stp>
        <stp>[FA1_j2ahgkxc.xlsx]Cash Flow - Standardized!R42C41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4"/>
      </tp>
      <tp>
        <v>-0.46</v>
        <stp/>
        <stp>##V3_BDHV12</stp>
        <stp>AMZN US Equity</stp>
        <stp>IS_DIL_EPS_CONT_OPS</stp>
        <stp>FQ3 2001</stp>
        <stp>FQ3 2001</stp>
        <stp>[FA1_j2ahgkxc.xlsx]Income - Adjusted!R42C13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2" s="2"/>
      </tp>
      <tp>
        <v>0.11</v>
        <stp/>
        <stp>##V3_BDHV12</stp>
        <stp>AMZN US Equity</stp>
        <stp>IS_DIL_EPS_CONT_OPS</stp>
        <stp>FQ3 2003</stp>
        <stp>FQ3 2003</stp>
        <stp>[FA1_j2ahgkxc.xlsx]Income - Adjusted!R42C21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2" s="2"/>
      </tp>
      <tp>
        <v>0.26</v>
        <stp/>
        <stp>##V3_BDHV12</stp>
        <stp>AMZN US Equity</stp>
        <stp>IS_DIL_EPS_CONT_OPS</stp>
        <stp>FQ1 2007</stp>
        <stp>FQ1 2007</stp>
        <stp>[FA1_j2ahgkxc.xlsx]Income - Adjusted!R42C35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2" s="2"/>
      </tp>
      <tp>
        <v>0.12</v>
        <stp/>
        <stp>##V3_BDHV12</stp>
        <stp>AMZN US Equity</stp>
        <stp>IS_DIL_EPS_CONT_OPS</stp>
        <stp>FQ1 2005</stp>
        <stp>FQ1 2005</stp>
        <stp>[FA1_j2ahgkxc.xlsx]Income - Adjusted!R42C27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2" s="2"/>
      </tp>
      <tp>
        <v>0.23</v>
        <stp/>
        <stp>##V3_BDHV12</stp>
        <stp>AMZN US Equity</stp>
        <stp>IS_DIL_EPS_CONT_OPS</stp>
        <stp>FQ4 2006</stp>
        <stp>FQ4 2006</stp>
        <stp>[FA1_j2ahgkxc.xlsx]Income - Adjusted!R42C34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2" s="2"/>
      </tp>
      <tp>
        <v>0.35</v>
        <stp/>
        <stp>##V3_BDHV12</stp>
        <stp>AMZN US Equity</stp>
        <stp>IS_DIL_EPS_CONT_OPS</stp>
        <stp>FQ4 2004</stp>
        <stp>FQ4 2004</stp>
        <stp>[FA1_j2ahgkxc.xlsx]Income - Adjusted!R42C26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2" s="2"/>
      </tp>
      <tp>
        <v>2296.4180000000001</v>
        <stp/>
        <stp>##V3_BDHV12</stp>
        <stp>AMZN US Equity</stp>
        <stp>NON_CUR_LIAB</stp>
        <stp>FQ1 2003</stp>
        <stp>FQ1 2003</stp>
        <stp>[FA1_j2ahgkxc.xlsx]Bal Sheet - Standardized!R45C19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5" s="3"/>
      </tp>
      <tp>
        <v>0</v>
        <stp/>
        <stp>##V3_BDHV12</stp>
        <stp>AMZN US Equity</stp>
        <stp>NET_CHG_IN_LT_INVEST_DETAILED</stp>
        <stp>FQ3 2005</stp>
        <stp>FQ3 2005</stp>
        <stp>[FA1_j2ahgkxc.xlsx]Cash Flow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4"/>
      </tp>
      <tp>
        <v>5</v>
        <stp/>
        <stp>##V3_BDHV12</stp>
        <stp>AMZN US Equity</stp>
        <stp>LT_CAPITAL_LEASE_OBLIGATIONS</stp>
        <stp>FQ4 2005</stp>
        <stp>FQ4 2005</stp>
        <stp>[FA1_j2ahgkxc.xlsx]Bal Sheet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3"/>
      </tp>
      <tp>
        <v>20</v>
        <stp/>
        <stp>##V3_BDHV12</stp>
        <stp>AMZN US Equity</stp>
        <stp>LT_CAPITAL_LEASE_OBLIGATIONS</stp>
        <stp>FQ4 2006</stp>
        <stp>FQ4 2006</stp>
        <stp>[FA1_j2ahgkxc.xlsx]Bal Sheet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3"/>
      </tp>
      <tp>
        <v>62</v>
        <stp/>
        <stp>##V3_BDHV12</stp>
        <stp>AMZN US Equity</stp>
        <stp>LT_CAPITAL_LEASE_OBLIGATIONS</stp>
        <stp>FQ4 2007</stp>
        <stp>FQ4 2007</stp>
        <stp>[FA1_j2ahgkxc.xlsx]Bal Sheet - Standardized!R42C38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3"/>
      </tp>
      <tp>
        <v>0</v>
        <stp/>
        <stp>##V3_BDHV12</stp>
        <stp>AMZN US Equity</stp>
        <stp>NET_CHG_IN_LT_INVEST_DETAILED</stp>
        <stp>FQ2 2006</stp>
        <stp>FQ2 2006</stp>
        <stp>[FA1_j2ahgkxc.xlsx]Cash Flow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4"/>
      </tp>
      <tp t="s">
        <v>—</v>
        <stp/>
        <stp>##V3_BDHV12</stp>
        <stp>AMZN US Equity</stp>
        <stp>LT_CAPITAL_LEASE_OBLIGATIONS</stp>
        <stp>FQ3 2008</stp>
        <stp>FQ3 2008</stp>
        <stp>[FA1_j2ahgkxc.xlsx]Bal Sheet - Standardized!R42C41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3"/>
      </tp>
      <tp>
        <v>1738.5609999999999</v>
        <stp/>
        <stp>##V3_BDHV12</stp>
        <stp>AMZN US Equity</stp>
        <stp>BS_TOT_ASSET</stp>
        <stp>FQ1 2004</stp>
        <stp>FQ1 2004</stp>
        <stp>[FA1_j2ahgkxc.xlsx]Bal Sheet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3"/>
      </tp>
      <tp>
        <v>1435.047</v>
        <stp/>
        <stp>##V3_BDHV12</stp>
        <stp>AMZN US Equity</stp>
        <stp>BS_TOT_ASSET</stp>
        <stp>FQ2 2002</stp>
        <stp>FQ2 2002</stp>
        <stp>[FA1_j2ahgkxc.xlsx]Bal Sheet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3"/>
      </tp>
      <tp>
        <v>0</v>
        <stp/>
        <stp>##V3_BDHV12</stp>
        <stp>AMZN US Equity</stp>
        <stp>NET_CHG_IN_LT_INVEST_DETAILED</stp>
        <stp>FQ3 2004</stp>
        <stp>FQ3 2004</stp>
        <stp>[FA1_j2ahgkxc.xlsx]Cash Flow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4"/>
      </tp>
      <tp>
        <v>1345.0360000000001</v>
        <stp/>
        <stp>##V3_BDHV12</stp>
        <stp>AMZN US Equity</stp>
        <stp>BS_TOT_ASSET</stp>
        <stp>FQ2 2001</stp>
        <stp>FQ2 2001</stp>
        <stp>[FA1_j2ahgkxc.xlsx]Bal Sheet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3"/>
      </tp>
      <tp>
        <v>0</v>
        <stp/>
        <stp>##V3_BDHV12</stp>
        <stp>AMZN US Equity</stp>
        <stp>NET_CHG_IN_LT_INVEST_DETAILED</stp>
        <stp>FQ2 2007</stp>
        <stp>FQ2 2007</stp>
        <stp>[FA1_j2ahgkxc.xlsx]Cash Flow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4"/>
      </tp>
      <tp>
        <v>2472</v>
        <stp/>
        <stp>##V3_BDHV12</stp>
        <stp>AMZN US Equity</stp>
        <stp>BS_TOT_ASSET</stp>
        <stp>FQ1 2005</stp>
        <stp>FQ1 2005</stp>
        <stp>[FA1_j2ahgkxc.xlsx]Bal Sheet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3"/>
      </tp>
      <tp>
        <v>0</v>
        <stp/>
        <stp>##V3_BDHV12</stp>
        <stp>AMZN US Equity</stp>
        <stp>NET_CHG_IN_LT_INVEST_DETAILED</stp>
        <stp>FQ3 2003</stp>
        <stp>FQ3 2003</stp>
        <stp>[FA1_j2ahgkxc.xlsx]Cash Flow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4"/>
      </tp>
      <tp>
        <v>391.60899999999998</v>
        <stp/>
        <stp>##V3_BDHV12</stp>
        <stp>AMZN US Equity</stp>
        <stp>BS_SH_OUT</stp>
        <stp>FQ1 2003</stp>
        <stp>FQ1 2003</stp>
        <stp>[FA1_j2ahgkxc.xlsx]Bal Sheet - Standardized!R59C19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9" s="3"/>
      </tp>
      <tp>
        <v>4.2957999999999998</v>
        <stp/>
        <stp>##V3_BDHV12</stp>
        <stp>AMZN US Equity</stp>
        <stp>TANG_BOOK_VAL_PER_SH</stp>
        <stp>FQ2 2008</stp>
        <stp>FQ2 2008</stp>
        <stp>[FA1_j2ahgkxc.xlsx]Per Share!R27C40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7" s="5"/>
      </tp>
      <tp>
        <v>431</v>
        <stp/>
        <stp>##V3_BDHV12</stp>
        <stp>AMZN US Equity</stp>
        <stp>BS_SH_OUT</stp>
        <stp>FQ4 2007</stp>
        <stp>FQ4 2007</stp>
        <stp>[FA1_j2ahgkxc.xlsx]Bal Sheet - Standardized!R59C38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9" s="3"/>
      </tp>
      <tp>
        <v>4.6836000000000002</v>
        <stp/>
        <stp>##V3_BDHV12</stp>
        <stp>AMZN US Equity</stp>
        <stp>TCE_RATIO</stp>
        <stp>FQ1 2006</stp>
        <stp>FQ1 2006</stp>
        <stp>[FA1_j2ahgkxc.xlsx]Bal Sheet - Standardized!R67C31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7" s="3"/>
      </tp>
      <tp>
        <v>6.5100000000000005E-2</v>
        <stp/>
        <stp>##V3_BDHV12</stp>
        <stp>AMZN US Equity</stp>
        <stp>TCE_RATIO</stp>
        <stp>FQ3 2006</stp>
        <stp>FQ3 2006</stp>
        <stp>[FA1_j2ahgkxc.xlsx]Bal Sheet - Standardized!R67C33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7" s="3"/>
      </tp>
      <tp>
        <v>6.3929999999999998</v>
        <stp/>
        <stp>##V3_BDHV12</stp>
        <stp>AMZN US Equity</stp>
        <stp>TCE_RATIO</stp>
        <stp>FQ2 2006</stp>
        <stp>FQ2 2006</stp>
        <stp>[FA1_j2ahgkxc.xlsx]Bal Sheet - Standardized!R67C32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7" s="3"/>
      </tp>
      <tp>
        <v>5.6622000000000003</v>
        <stp/>
        <stp>##V3_BDHV12</stp>
        <stp>AMZN US Equity</stp>
        <stp>TCE_RATIO</stp>
        <stp>FQ4 2006</stp>
        <stp>FQ4 2006</stp>
        <stp>[FA1_j2ahgkxc.xlsx]Bal Sheet - Standardized!R67C34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7" s="3"/>
      </tp>
      <tp>
        <v>-58.353200000000001</v>
        <stp/>
        <stp>##V3_BDHV12</stp>
        <stp>AMZN US Equity</stp>
        <stp>TCE_RATIO</stp>
        <stp>FQ1 2004</stp>
        <stp>FQ1 2004</stp>
        <stp>[FA1_j2ahgkxc.xlsx]Bal Sheet - Standardized!R67C23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7" s="3"/>
      </tp>
      <tp>
        <v>-11.777100000000001</v>
        <stp/>
        <stp>##V3_BDHV12</stp>
        <stp>AMZN US Equity</stp>
        <stp>TCE_RATIO</stp>
        <stp>FQ4 2004</stp>
        <stp>FQ4 2004</stp>
        <stp>[FA1_j2ahgkxc.xlsx]Bal Sheet - Standardized!R67C26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7" s="3"/>
      </tp>
      <tp>
        <v>-109.2392</v>
        <stp/>
        <stp>##V3_BDHV12</stp>
        <stp>AMZN US Equity</stp>
        <stp>TCE_RATIO</stp>
        <stp>FQ3 2002</stp>
        <stp>FQ3 2002</stp>
        <stp>[FA1_j2ahgkxc.xlsx]Bal Sheet - Standardized!R67C17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7" s="3"/>
      </tp>
      <tp>
        <v>-111.89830000000001</v>
        <stp/>
        <stp>##V3_BDHV12</stp>
        <stp>AMZN US Equity</stp>
        <stp>TCE_RATIO</stp>
        <stp>FQ2 2002</stp>
        <stp>FQ2 2002</stp>
        <stp>[FA1_j2ahgkxc.xlsx]Bal Sheet - Standardized!R67C16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7" s="3"/>
      </tp>
      <tp>
        <v>-118.7662</v>
        <stp/>
        <stp>##V3_BDHV12</stp>
        <stp>AMZN US Equity</stp>
        <stp>TCE_RATIO</stp>
        <stp>FQ1 2002</stp>
        <stp>FQ1 2002</stp>
        <stp>[FA1_j2ahgkxc.xlsx]Bal Sheet - Standardized!R67C15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7" s="3"/>
      </tp>
      <tp>
        <v>-197.08</v>
        <stp/>
        <stp>##V3_BDHV12</stp>
        <stp>AMZN US Equity</stp>
        <stp>NI_INCLUDING_MINORITY_INT_RATIO</stp>
        <stp>FQ3 1999</stp>
        <stp>FQ3 1999</stp>
        <stp>[FA1_j2ahgkxc.xlsx]Income - Adjusted!R24C6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4" s="2"/>
      </tp>
      <tp>
        <v>-61.667000000000002</v>
        <stp/>
        <stp>##V3_BDHV12</stp>
        <stp>AMZN US Equity</stp>
        <stp>NI_INCLUDING_MINORITY_INT_RATIO</stp>
        <stp>FQ1 1999</stp>
        <stp>FQ1 1999</stp>
        <stp>[FA1_j2ahgkxc.xlsx]Income - Adjusted!R24C4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4" s="2"/>
      </tp>
      <tp>
        <v>-240.524</v>
        <stp/>
        <stp>##V3_BDHV12</stp>
        <stp>AMZN US Equity</stp>
        <stp>EARN_FOR_COMMON</stp>
        <stp>FQ3 2000</stp>
        <stp>FQ3 2000</stp>
        <stp>[FA1_j2ahgkxc.xlsx]Income - Adjusted!R29C9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9" s="2"/>
      </tp>
      <tp>
        <v>0</v>
        <stp/>
        <stp>##V3_BDHV12</stp>
        <stp>AMZN US Equity</stp>
        <stp>MIN_NONCONTROL_INTEREST_CREDITS</stp>
        <stp>FQ3 1999</stp>
        <stp>FQ3 1999</stp>
        <stp>[FA1_j2ahgkxc.xlsx]Income - Adjusted!R25C6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5" s="2"/>
      </tp>
      <tp>
        <v>0</v>
        <stp/>
        <stp>##V3_BDHV12</stp>
        <stp>AMZN US Equity</stp>
        <stp>MIN_NONCONTROL_INTEREST_CREDITS</stp>
        <stp>FQ1 1999</stp>
        <stp>FQ1 1999</stp>
        <stp>[FA1_j2ahgkxc.xlsx]Income - Adjusted!R25C4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5" s="2"/>
      </tp>
      <tp>
        <v>16.23</v>
        <stp/>
        <stp>##V3_BDHV12</stp>
        <stp>AMZN US Equity</stp>
        <stp>PX_OPEN</stp>
        <stp>FQ4 2002</stp>
        <stp>FQ4 2002</stp>
        <stp>[FA1_j2ahgkxc.xlsx]Stock Value!R8C18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6"/>
      </tp>
      <tp>
        <v>93.42</v>
        <stp/>
        <stp>##V3_BDHV12</stp>
        <stp>AMZN US Equity</stp>
        <stp>PX_OPEN</stp>
        <stp>FQ4 2007</stp>
        <stp>FQ4 2007</stp>
        <stp>[FA1_j2ahgkxc.xlsx]Stock Value!R8C38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6"/>
      </tp>
      <tp>
        <v>34.630000000000003</v>
        <stp/>
        <stp>##V3_BDHV12</stp>
        <stp>AMZN US Equity</stp>
        <stp>PX_OPEN</stp>
        <stp>FQ2 2005</stp>
        <stp>FQ2 2005</stp>
        <stp>[FA1_j2ahgkxc.xlsx]Stock Value!R8C28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6"/>
      </tp>
      <tp>
        <v>52</v>
        <stp/>
        <stp>##V3_BDHV12</stp>
        <stp>AMZN US Equity</stp>
        <stp>NI_INCLUDING_MINORITY_INT_RATIO</stp>
        <stp>FQ2 2005</stp>
        <stp>FQ2 2005</stp>
        <stp>[FA1_j2ahgkxc.xlsx]Income - Adjusted!R24C28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4" s="2"/>
      </tp>
      <tp t="s">
        <v>—</v>
        <stp/>
        <stp>##V3_BDHV12</stp>
        <stp>AMZN US Equity</stp>
        <stp>BS_OPTIONS_OUTSTANDING</stp>
        <stp>FQ1 2003</stp>
        <stp>FQ1 2003</stp>
        <stp>[FA1_j2ahgkxc.xlsx]Bal Sheet - Standardized!R64C19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4" s="3"/>
      </tp>
      <tp t="s">
        <v>—</v>
        <stp/>
        <stp>##V3_BDHV12</stp>
        <stp>AMZN US Equity</stp>
        <stp>BS_OPTIONS_OUTSTANDING</stp>
        <stp>FQ4 2007</stp>
        <stp>FQ4 2007</stp>
        <stp>[FA1_j2ahgkxc.xlsx]Bal Sheet - Standardized!R64C38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4" s="3"/>
      </tp>
      <tp t="s">
        <v>—</v>
        <stp/>
        <stp>##V3_BDHV12</stp>
        <stp>AMZN US Equity</stp>
        <stp>IS_SELLING_EXPENSES</stp>
        <stp>FQ2 2006</stp>
        <stp>FQ2 2006</stp>
        <stp>[FA1_j2ahgkxc.xlsx]Income - Adjusted!R11C32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1" s="2"/>
      </tp>
      <tp t="s">
        <v>—</v>
        <stp/>
        <stp>##V3_BDHV12</stp>
        <stp>AMZN US Equity</stp>
        <stp>IS_SELLING_EXPENSES</stp>
        <stp>FQ2 2002</stp>
        <stp>FQ2 2002</stp>
        <stp>[FA1_j2ahgkxc.xlsx]Income - Adjusted!R11C16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1" s="2"/>
      </tp>
      <tp>
        <v>0</v>
        <stp/>
        <stp>##V3_BDHV12</stp>
        <stp>AMZN US Equity</stp>
        <stp>MIN_NONCONTROL_INTEREST_CREDITS</stp>
        <stp>FQ4 2006</stp>
        <stp>FQ4 2006</stp>
        <stp>[FA1_j2ahgkxc.xlsx]Income - Adjusted!R25C34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5" s="2"/>
      </tp>
      <tp>
        <v>0</v>
        <stp/>
        <stp>##V3_BDHV12</stp>
        <stp>AMZN US Equity</stp>
        <stp>MIN_NONCONTROL_INTEREST_CREDITS</stp>
        <stp>FQ4 2004</stp>
        <stp>FQ4 2004</stp>
        <stp>[FA1_j2ahgkxc.xlsx]Income - Adjusted!R25C26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5" s="2"/>
      </tp>
      <tp>
        <v>0</v>
        <stp/>
        <stp>##V3_BDHV12</stp>
        <stp>AMZN US Equity</stp>
        <stp>MIN_NONCONTROL_INTEREST_CREDITS</stp>
        <stp>FQ3 2003</stp>
        <stp>FQ3 2003</stp>
        <stp>[FA1_j2ahgkxc.xlsx]Income - Adjusted!R25C21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5" s="2"/>
      </tp>
      <tp>
        <v>0</v>
        <stp/>
        <stp>##V3_BDHV12</stp>
        <stp>AMZN US Equity</stp>
        <stp>MIN_NONCONTROL_INTEREST_CREDITS</stp>
        <stp>FQ3 2001</stp>
        <stp>FQ3 2001</stp>
        <stp>[FA1_j2ahgkxc.xlsx]Income - Adjusted!R25C13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5" s="2"/>
      </tp>
      <tp>
        <v>0</v>
        <stp/>
        <stp>##V3_BDHV12</stp>
        <stp>AMZN US Equity</stp>
        <stp>MIN_NONCONTROL_INTEREST_CREDITS</stp>
        <stp>FQ1 2007</stp>
        <stp>FQ1 2007</stp>
        <stp>[FA1_j2ahgkxc.xlsx]Income - Adjusted!R25C35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5" s="2"/>
      </tp>
      <tp>
        <v>0</v>
        <stp/>
        <stp>##V3_BDHV12</stp>
        <stp>AMZN US Equity</stp>
        <stp>MIN_NONCONTROL_INTEREST_CREDITS</stp>
        <stp>FQ1 2005</stp>
        <stp>FQ1 2005</stp>
        <stp>[FA1_j2ahgkxc.xlsx]Income - Adjusted!R25C27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5" s="2"/>
      </tp>
      <tp>
        <v>158</v>
        <stp/>
        <stp>##V3_BDHV12</stp>
        <stp>AMZN US Equity</stp>
        <stp>EARN_FOR_COMMON</stp>
        <stp>FQ2 2008</stp>
        <stp>FQ2 2008</stp>
        <stp>[FA1_j2ahgkxc.xlsx]Income - Adjusted!R29C40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9" s="2"/>
      </tp>
      <tp>
        <v>0.13</v>
        <stp/>
        <stp>##V3_BDHV12</stp>
        <stp>AMZN US Equity</stp>
        <stp>IS_EARN_BEF_XO_ITEMS_PER_SH</stp>
        <stp>FQ2 2005</stp>
        <stp>FQ2 2005</stp>
        <stp>[FA1_j2ahgkxc.xlsx]Per Share!R15C28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5" s="5"/>
      </tp>
      <tp>
        <v>0</v>
        <stp/>
        <stp>##V3_BDHV12</stp>
        <stp>AMZN US Equity</stp>
        <stp>BS_NUM_OF_TSY_SH</stp>
        <stp>FQ4 1998</stp>
        <stp>FQ4 1998</stp>
        <stp>[FA1_j2ahgkxc.xlsx]Bal Sheet - Standardized!R60C3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0" s="3"/>
      </tp>
      <tp>
        <v>0</v>
        <stp/>
        <stp>##V3_BDHV12</stp>
        <stp>AMZN US Equity</stp>
        <stp>BS_NUM_OF_TSY_SH</stp>
        <stp>FQ2 1999</stp>
        <stp>FQ2 1999</stp>
        <stp>[FA1_j2ahgkxc.xlsx]Bal Sheet - Standardized!R60C5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0" s="3"/>
      </tp>
      <tp>
        <v>1777.7</v>
        <stp/>
        <stp>##V3_BDHV12</stp>
        <stp>AMZN US Equity</stp>
        <stp>NON_CUR_LIAB</stp>
        <stp>FQ1 2004</stp>
        <stp>FQ1 2004</stp>
        <stp>[FA1_j2ahgkxc.xlsx]Bal Sheet - Standardized!R45C23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5" s="3"/>
      </tp>
      <tp>
        <v>71.927599999999998</v>
        <stp/>
        <stp>##V3_BDHV12</stp>
        <stp>AMZN US Equity</stp>
        <stp>CHG_PCT_PERIOD</stp>
        <stp>FQ2 2007</stp>
        <stp>FQ2 2007</stp>
        <stp>[FA1_j2ahgkxc.xlsx]Stock Value!R7C36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6"/>
      </tp>
      <tp t="s">
        <v>—</v>
        <stp/>
        <stp>##V3_BDHV12</stp>
        <stp>AMZN US Equity</stp>
        <stp>CHG_PCT_PERIOD</stp>
        <stp>FQ2 2002</stp>
        <stp>FQ2 2002</stp>
        <stp>[FA1_j2ahgkxc.xlsx]Stock Value!R7C16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6"/>
      </tp>
      <tp>
        <v>2218.4259999999999</v>
        <stp/>
        <stp>##V3_BDHV12</stp>
        <stp>AMZN US Equity</stp>
        <stp>NON_CUR_LIAB</stp>
        <stp>FQ2 2002</stp>
        <stp>FQ2 2002</stp>
        <stp>[FA1_j2ahgkxc.xlsx]Bal Sheet - Standardized!R45C16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5" s="3"/>
      </tp>
      <tp>
        <v>8.3945000000000007</v>
        <stp/>
        <stp>##V3_BDHV12</stp>
        <stp>AMZN US Equity</stp>
        <stp>CHG_PCT_PERIOD</stp>
        <stp>FQ4 2004</stp>
        <stp>FQ4 2004</stp>
        <stp>[FA1_j2ahgkxc.xlsx]Stock Value!R7C26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6"/>
      </tp>
      <tp>
        <v>2126.7271000000001</v>
        <stp/>
        <stp>##V3_BDHV12</stp>
        <stp>AMZN US Equity</stp>
        <stp>NON_CUR_LIAB</stp>
        <stp>FQ2 2001</stp>
        <stp>FQ2 2001</stp>
        <stp>[FA1_j2ahgkxc.xlsx]Bal Sheet - Standardized!R45C12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5" s="3"/>
      </tp>
      <tp>
        <v>1561</v>
        <stp/>
        <stp>##V3_BDHV12</stp>
        <stp>AMZN US Equity</stp>
        <stp>NON_CUR_LIAB</stp>
        <stp>FQ1 2005</stp>
        <stp>FQ1 2005</stp>
        <stp>[FA1_j2ahgkxc.xlsx]Bal Sheet - Standardized!R45C27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5" s="3"/>
      </tp>
      <tp>
        <v>0.17</v>
        <stp/>
        <stp>##V3_BDHV12</stp>
        <stp>AMZN US Equity</stp>
        <stp>IS_DIL_EPS_CONT_OPS</stp>
        <stp>FQ3 2004</stp>
        <stp>FQ3 2004</stp>
        <stp>[FA1_j2ahgkxc.xlsx]Income - Adjusted!R42C25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2" s="2"/>
      </tp>
      <tp>
        <v>0.19</v>
        <stp/>
        <stp>##V3_BDHV12</stp>
        <stp>AMZN US Equity</stp>
        <stp>IS_DIL_EPS_CONT_OPS</stp>
        <stp>FQ2 2007</stp>
        <stp>FQ2 2007</stp>
        <stp>[FA1_j2ahgkxc.xlsx]Income - Adjusted!R42C36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2" s="2"/>
      </tp>
      <tp>
        <v>0.34</v>
        <stp/>
        <stp>##V3_BDHV12</stp>
        <stp>AMZN US Equity</stp>
        <stp>IS_DIL_EPS_CONT_OPS</stp>
        <stp>FQ1 2008</stp>
        <stp>FQ1 2008</stp>
        <stp>[FA1_j2ahgkxc.xlsx]Income - Adjusted!R42C39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2" s="2"/>
      </tp>
      <tp>
        <v>0.28999999999999998</v>
        <stp/>
        <stp>##V3_BDHV12</stp>
        <stp>AMZN US Equity</stp>
        <stp>IS_DIL_EPS_CONT_OPS</stp>
        <stp>FQ4 2003</stp>
        <stp>FQ4 2003</stp>
        <stp>[FA1_j2ahgkxc.xlsx]Income - Adjusted!R42C22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2" s="2"/>
      </tp>
      <tp>
        <v>2601</v>
        <stp/>
        <stp>##V3_BDHV12</stp>
        <stp>AMZN US Equity</stp>
        <stp>BS_TOT_ASSET</stp>
        <stp>FQ2 2005</stp>
        <stp>FQ2 2005</stp>
        <stp>[FA1_j2ahgkxc.xlsx]Bal Sheet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3"/>
      </tp>
      <tp>
        <v>8314</v>
        <stp/>
        <stp>##V3_BDHV12</stp>
        <stp>AMZN US Equity</stp>
        <stp>BS_TOT_ASSET</stp>
        <stp>FQ4 2008</stp>
        <stp>FQ4 2008</stp>
        <stp>[FA1_j2ahgkxc.xlsx]Bal Sheet - Standardized!R29C42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9" s="3"/>
      </tp>
      <tp>
        <v>1705.933</v>
        <stp/>
        <stp>##V3_BDHV12</stp>
        <stp>AMZN US Equity</stp>
        <stp>BS_TOT_ASSET</stp>
        <stp>FQ1 2003</stp>
        <stp>FQ1 2003</stp>
        <stp>[FA1_j2ahgkxc.xlsx]Bal Sheet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3"/>
      </tp>
      <tp t="s">
        <v>—</v>
        <stp/>
        <stp>##V3_BDHV12</stp>
        <stp>AMZN US Equity</stp>
        <stp>CF_STOCK_BASED_COMPENSATION</stp>
        <stp>FQ1 2000</stp>
        <stp>FQ1 2000</stp>
        <stp>[FA1_j2ahgkxc.xlsx]Cash Flow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4"/>
      </tp>
      <tp>
        <v>22.434999999999999</v>
        <stp/>
        <stp>##V3_BDHV12</stp>
        <stp>AMZN US Equity</stp>
        <stp>NET_CHG_IN_LT_INVEST_DETAILED</stp>
        <stp>FQ3 2002</stp>
        <stp>FQ3 2002</stp>
        <stp>[FA1_j2ahgkxc.xlsx]Cash Flow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4"/>
      </tp>
      <tp>
        <v>0</v>
        <stp/>
        <stp>##V3_BDHV12</stp>
        <stp>AMZN US Equity</stp>
        <stp>NET_CHG_IN_LT_INVEST_DETAILED</stp>
        <stp>FQ1 2006</stp>
        <stp>FQ1 2006</stp>
        <stp>[FA1_j2ahgkxc.xlsx]Cash Flow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4"/>
      </tp>
      <tp>
        <v>3268</v>
        <stp/>
        <stp>##V3_BDHV12</stp>
        <stp>AMZN US Equity</stp>
        <stp>BS_TOT_ASSET</stp>
        <stp>FQ3 2006</stp>
        <stp>FQ3 2006</stp>
        <stp>[FA1_j2ahgkxc.xlsx]Bal Sheet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3"/>
      </tp>
      <tp>
        <v>1361.9280000000001</v>
        <stp/>
        <stp>##V3_BDHV12</stp>
        <stp>AMZN US Equity</stp>
        <stp>BS_TOT_ASSET</stp>
        <stp>FQ1 2002</stp>
        <stp>FQ1 2002</stp>
        <stp>[FA1_j2ahgkxc.xlsx]Bal Sheet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3"/>
      </tp>
      <tp t="s">
        <v>—</v>
        <stp/>
        <stp>##V3_BDHV12</stp>
        <stp>AMZN US Equity</stp>
        <stp>CF_STOCK_BASED_COMPENSATION</stp>
        <stp>FQ2 2000</stp>
        <stp>FQ2 2000</stp>
        <stp>[FA1_j2ahgkxc.xlsx]Cash Flow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4"/>
      </tp>
      <tp t="s">
        <v>—</v>
        <stp/>
        <stp>##V3_BDHV12</stp>
        <stp>AMZN US Equity</stp>
        <stp>CF_STOCK_BASED_COMPENSATION</stp>
        <stp>FQ3 2000</stp>
        <stp>FQ3 2000</stp>
        <stp>[FA1_j2ahgkxc.xlsx]Cash Flow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4"/>
      </tp>
      <tp>
        <v>1596.854</v>
        <stp/>
        <stp>##V3_BDHV12</stp>
        <stp>AMZN US Equity</stp>
        <stp>BS_TOT_ASSET</stp>
        <stp>FQ2 2003</stp>
        <stp>FQ2 2003</stp>
        <stp>[FA1_j2ahgkxc.xlsx]Bal Sheet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3"/>
      </tp>
      <tp>
        <v>1470.155</v>
        <stp/>
        <stp>##V3_BDHV12</stp>
        <stp>AMZN US Equity</stp>
        <stp>BS_TOT_ASSET</stp>
        <stp>FQ1 2001</stp>
        <stp>FQ1 2001</stp>
        <stp>[FA1_j2ahgkxc.xlsx]Bal Sheet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3"/>
      </tp>
      <tp>
        <v>0</v>
        <stp/>
        <stp>##V3_BDHV12</stp>
        <stp>AMZN US Equity</stp>
        <stp>NET_CHG_IN_LT_INVEST_DETAILED</stp>
        <stp>FQ1 2007</stp>
        <stp>FQ1 2007</stp>
        <stp>[FA1_j2ahgkxc.xlsx]Cash Flow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4"/>
      </tp>
      <tp>
        <v>0</v>
        <stp/>
        <stp>##V3_BDHV12</stp>
        <stp>AMZN US Equity</stp>
        <stp>NET_CHG_IN_LT_INVEST_DETAILED</stp>
        <stp>FQ1 2008</stp>
        <stp>FQ1 2008</stp>
        <stp>[FA1_j2ahgkxc.xlsx]Cash Flow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4"/>
      </tp>
      <tp>
        <v>4618</v>
        <stp/>
        <stp>##V3_BDHV12</stp>
        <stp>AMZN US Equity</stp>
        <stp>BS_TOT_ASSET</stp>
        <stp>FQ3 2007</stp>
        <stp>FQ3 2007</stp>
        <stp>[FA1_j2ahgkxc.xlsx]Bal Sheet - Standardized!R29C37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9" s="3"/>
      </tp>
      <tp>
        <v>-82.093000000000004</v>
        <stp/>
        <stp>##V3_BDHV12</stp>
        <stp>AMZN US Equity</stp>
        <stp>NET_CHG_IN_LT_INVEST_DETAILED</stp>
        <stp>FQ3 2001</stp>
        <stp>FQ3 2001</stp>
        <stp>[FA1_j2ahgkxc.xlsx]Cash Flow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4"/>
      </tp>
      <tp>
        <v>1888.11</v>
        <stp/>
        <stp>##V3_BDHV12</stp>
        <stp>AMZN US Equity</stp>
        <stp>BS_TOT_ASSET</stp>
        <stp>FQ2 2004</stp>
        <stp>FQ2 2004</stp>
        <stp>[FA1_j2ahgkxc.xlsx]Bal Sheet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3"/>
      </tp>
      <tp>
        <v>-52.845999999999997</v>
        <stp/>
        <stp>##V3_BDHV12</stp>
        <stp>AMZN US Equity</stp>
        <stp>TCE_RATIO</stp>
        <stp>FQ4 2003</stp>
        <stp>FQ4 2003</stp>
        <stp>[FA1_j2ahgkxc.xlsx]Bal Sheet - Standardized!R67C22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7" s="3"/>
      </tp>
      <tp>
        <v>-46.427</v>
        <stp/>
        <stp>##V3_BDHV12</stp>
        <stp>AMZN US Equity</stp>
        <stp>NI_INCLUDING_MINORITY_INT_RATIO</stp>
        <stp>FQ4 1998</stp>
        <stp>FQ4 1998</stp>
        <stp>[FA1_j2ahgkxc.xlsx]Income - Adjusted!R24C3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4" s="2"/>
      </tp>
      <tp>
        <v>-308.42500000000001</v>
        <stp/>
        <stp>##V3_BDHV12</stp>
        <stp>AMZN US Equity</stp>
        <stp>EARN_FOR_COMMON</stp>
        <stp>FQ1 2000</stp>
        <stp>FQ1 2000</stp>
        <stp>[FA1_j2ahgkxc.xlsx]Income - Adjusted!R29C8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9" s="2"/>
      </tp>
      <tp>
        <v>0</v>
        <stp/>
        <stp>##V3_BDHV12</stp>
        <stp>AMZN US Equity</stp>
        <stp>MIN_NONCONTROL_INTEREST_CREDITS</stp>
        <stp>FQ4 1998</stp>
        <stp>FQ4 1998</stp>
        <stp>[FA1_j2ahgkxc.xlsx]Income - Adjusted!R25C3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5" s="2"/>
      </tp>
      <tp t="s">
        <v>—</v>
        <stp/>
        <stp>##V3_BDHV12</stp>
        <stp>AMZN US Equity</stp>
        <stp>BS_OPTIONS_OUTSTANDING</stp>
        <stp>FQ3 2008</stp>
        <stp>FQ3 2008</stp>
        <stp>[FA1_j2ahgkxc.xlsx]Bal Sheet - Standardized!R64C41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4" s="3"/>
      </tp>
      <tp t="s">
        <v>—</v>
        <stp/>
        <stp>##V3_BDHV12</stp>
        <stp>AMZN US Equity</stp>
        <stp>BS_OPTIONS_OUTSTANDING</stp>
        <stp>FQ2 2008</stp>
        <stp>FQ2 2008</stp>
        <stp>[FA1_j2ahgkxc.xlsx]Bal Sheet - Standardized!R64C40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4" s="3"/>
      </tp>
      <tp>
        <v>46.546999999999997</v>
        <stp/>
        <stp>##V3_BDHV12</stp>
        <stp>AMZN US Equity</stp>
        <stp>OTHER_NON_CASH_ADJ_LESS_DETAILED</stp>
        <stp>FQ1 1999</stp>
        <stp>FQ1 1999</stp>
        <stp>[FA1_j2ahgkxc.xlsx]Cash Flow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-21.032</v>
        <stp/>
        <stp>##V3_BDHV12</stp>
        <stp>AMZN US Equity</stp>
        <stp>OTHER_NON_CASH_ADJ_LESS_DETAILED</stp>
        <stp>FQ4 1999</stp>
        <stp>FQ4 1999</stp>
        <stp>[FA1_j2ahgkxc.xlsx]Cash Flow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33.24</v>
        <stp/>
        <stp>##V3_BDHV12</stp>
        <stp>AMZN US Equity</stp>
        <stp>PX_OPEN</stp>
        <stp>FQ3 2005</stp>
        <stp>FQ3 2005</stp>
        <stp>[FA1_j2ahgkxc.xlsx]Stock Value!R8C29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6"/>
      </tp>
      <tp>
        <v>-0.06</v>
        <stp/>
        <stp>##V3_BDHV12</stp>
        <stp>AMZN US Equity</stp>
        <stp>IS_DIL_EPS_BEF_XO</stp>
        <stp>FQ1 2002</stp>
        <stp>FQ1 2002</stp>
        <stp>[FA1_j2ahgkxc.xlsx]Per Share!R18C15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8" s="5"/>
      </tp>
      <tp>
        <v>0.26</v>
        <stp/>
        <stp>##V3_BDHV12</stp>
        <stp>AMZN US Equity</stp>
        <stp>IS_DIL_EPS_BEF_XO</stp>
        <stp>FQ1 2004</stp>
        <stp>FQ1 2004</stp>
        <stp>[FA1_j2ahgkxc.xlsx]Per Share!R18C23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8" s="5"/>
      </tp>
      <tp>
        <v>0.12</v>
        <stp/>
        <stp>##V3_BDHV12</stp>
        <stp>AMZN US Equity</stp>
        <stp>IS_DIL_EPS_BEF_XO</stp>
        <stp>FQ1 2006</stp>
        <stp>FQ1 2006</stp>
        <stp>[FA1_j2ahgkxc.xlsx]Per Share!R18C31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8" s="5"/>
      </tp>
      <tp>
        <v>29.373999999999999</v>
        <stp/>
        <stp>##V3_BDHV12</stp>
        <stp>AMZN US Equity</stp>
        <stp>OTHER_NON_CASH_ADJ_LESS_DETAILED</stp>
        <stp>FQ3 1999</stp>
        <stp>FQ3 1999</stp>
        <stp>[FA1_j2ahgkxc.xlsx]Cash Flow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61.973999999999997</v>
        <stp/>
        <stp>##V3_BDHV12</stp>
        <stp>AMZN US Equity</stp>
        <stp>OTHER_NON_CASH_ADJ_LESS_DETAILED</stp>
        <stp>FQ2 1999</stp>
        <stp>FQ2 1999</stp>
        <stp>[FA1_j2ahgkxc.xlsx]Cash Flow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95.35</v>
        <stp/>
        <stp>##V3_BDHV12</stp>
        <stp>AMZN US Equity</stp>
        <stp>PX_OPEN</stp>
        <stp>FQ1 2008</stp>
        <stp>FQ1 2008</stp>
        <stp>[FA1_j2ahgkxc.xlsx]Stock Value!R8C39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6"/>
      </tp>
      <tp>
        <v>19.190000000000001</v>
        <stp/>
        <stp>##V3_BDHV12</stp>
        <stp>AMZN US Equity</stp>
        <stp>PX_OPEN</stp>
        <stp>FQ1 2003</stp>
        <stp>FQ1 2003</stp>
        <stp>[FA1_j2ahgkxc.xlsx]Stock Value!R8C19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6"/>
      </tp>
      <tp>
        <v>30</v>
        <stp/>
        <stp>##V3_BDHV12</stp>
        <stp>AMZN US Equity</stp>
        <stp>NI_INCLUDING_MINORITY_INT_RATIO</stp>
        <stp>FQ3 2005</stp>
        <stp>FQ3 2005</stp>
        <stp>[FA1_j2ahgkxc.xlsx]Income - Adjusted!R24C29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4" s="2"/>
      </tp>
      <tp t="s">
        <v>—</v>
        <stp/>
        <stp>##V3_BDHV12</stp>
        <stp>AMZN US Equity</stp>
        <stp>IS_SELLING_EXPENSES</stp>
        <stp>FQ4 2001</stp>
        <stp>FQ4 2001</stp>
        <stp>[FA1_j2ahgkxc.xlsx]Income - Adjusted!R11C14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1" s="2"/>
      </tp>
      <tp t="s">
        <v>—</v>
        <stp/>
        <stp>##V3_BDHV12</stp>
        <stp>AMZN US Equity</stp>
        <stp>IS_SELLING_EXPENSES</stp>
        <stp>FQ4 2005</stp>
        <stp>FQ4 2005</stp>
        <stp>[FA1_j2ahgkxc.xlsx]Income - Adjusted!R11C30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1" s="2"/>
      </tp>
      <tp t="s">
        <v>—</v>
        <stp/>
        <stp>##V3_BDHV12</stp>
        <stp>AMZN US Equity</stp>
        <stp>IS_SELLING_EXPENSES</stp>
        <stp>FQ3 2006</stp>
        <stp>FQ3 2006</stp>
        <stp>[FA1_j2ahgkxc.xlsx]Income - Adjusted!R11C33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1" s="2"/>
      </tp>
      <tp t="s">
        <v>—</v>
        <stp/>
        <stp>##V3_BDHV12</stp>
        <stp>AMZN US Equity</stp>
        <stp>IS_SELLING_EXPENSES</stp>
        <stp>FQ3 2002</stp>
        <stp>FQ3 2002</stp>
        <stp>[FA1_j2ahgkxc.xlsx]Income - Adjusted!R11C17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1" s="2"/>
      </tp>
      <tp>
        <v>0</v>
        <stp/>
        <stp>##V3_BDHV12</stp>
        <stp>AMZN US Equity</stp>
        <stp>MIN_NONCONTROL_INTEREST_CREDITS</stp>
        <stp>FQ2 2001</stp>
        <stp>FQ2 2001</stp>
        <stp>[FA1_j2ahgkxc.xlsx]Income - Adjusted!R25C12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5" s="2"/>
      </tp>
      <tp>
        <v>0</v>
        <stp/>
        <stp>##V3_BDHV12</stp>
        <stp>AMZN US Equity</stp>
        <stp>MIN_NONCONTROL_INTEREST_CREDITS</stp>
        <stp>FQ2 2003</stp>
        <stp>FQ2 2003</stp>
        <stp>[FA1_j2ahgkxc.xlsx]Income - Adjusted!R25C20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5" s="2"/>
      </tp>
      <tp>
        <v>-3.609</v>
        <stp/>
        <stp>##V3_BDHV12</stp>
        <stp>AMZN US Equity</stp>
        <stp>INC_DEC_IN_OT_OP_AST_LIAB_DETAIL</stp>
        <stp>FQ3 1999</stp>
        <stp>FQ3 1999</stp>
        <stp>[FA1_j2ahgkxc.xlsx]Cash Flow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4"/>
      </tp>
      <tp>
        <v>38.317999999999998</v>
        <stp/>
        <stp>##V3_BDHV12</stp>
        <stp>AMZN US Equity</stp>
        <stp>INC_DEC_IN_OT_OP_AST_LIAB_DETAIL</stp>
        <stp>FQ2 1999</stp>
        <stp>FQ2 1999</stp>
        <stp>[FA1_j2ahgkxc.xlsx]Cash Flow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4"/>
      </tp>
      <tp>
        <v>118</v>
        <stp/>
        <stp>##V3_BDHV12</stp>
        <stp>AMZN US Equity</stp>
        <stp>EARN_FOR_COMMON</stp>
        <stp>FQ3 2008</stp>
        <stp>FQ3 2008</stp>
        <stp>[FA1_j2ahgkxc.xlsx]Income - Adjusted!R29C41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9" s="2"/>
      </tp>
      <tp>
        <v>-7.2969999999999997</v>
        <stp/>
        <stp>##V3_BDHV12</stp>
        <stp>AMZN US Equity</stp>
        <stp>INC_DEC_IN_OT_OP_AST_LIAB_DETAIL</stp>
        <stp>FQ1 1999</stp>
        <stp>FQ1 1999</stp>
        <stp>[FA1_j2ahgkxc.xlsx]Cash Flow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4"/>
      </tp>
      <tp>
        <v>202.7</v>
        <stp/>
        <stp>##V3_BDHV12</stp>
        <stp>AMZN US Equity</stp>
        <stp>INC_DEC_IN_OT_OP_AST_LIAB_DETAIL</stp>
        <stp>FQ4 1999</stp>
        <stp>FQ4 1999</stp>
        <stp>[FA1_j2ahgkxc.xlsx]Cash Flow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4"/>
      </tp>
      <tp t="s">
        <v>—</v>
        <stp/>
        <stp>##V3_BDHV12</stp>
        <stp>AMZN US Equity</stp>
        <stp>CF_CHANGE_IN_INVENTORIES</stp>
        <stp>FQ3 1999</stp>
        <stp>FQ3 1999</stp>
        <stp>[FA1_j2ahgkxc.xlsx]Cash Flow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4"/>
      </tp>
      <tp t="s">
        <v>—</v>
        <stp/>
        <stp>##V3_BDHV12</stp>
        <stp>AMZN US Equity</stp>
        <stp>CF_CHANGE_IN_INVENTORIES</stp>
        <stp>FQ2 1999</stp>
        <stp>FQ2 1999</stp>
        <stp>[FA1_j2ahgkxc.xlsx]Cash Flow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4"/>
      </tp>
      <tp t="s">
        <v>—</v>
        <stp/>
        <stp>##V3_BDHV12</stp>
        <stp>AMZN US Equity</stp>
        <stp>CF_CHANGE_IN_INVENTORIES</stp>
        <stp>FQ1 1999</stp>
        <stp>FQ1 1999</stp>
        <stp>[FA1_j2ahgkxc.xlsx]Cash Flow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4"/>
      </tp>
      <tp t="s">
        <v>—</v>
        <stp/>
        <stp>##V3_BDHV12</stp>
        <stp>AMZN US Equity</stp>
        <stp>CF_CHANGE_IN_INVENTORIES</stp>
        <stp>FQ4 1999</stp>
        <stp>FQ4 1999</stp>
        <stp>[FA1_j2ahgkxc.xlsx]Cash Flow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4"/>
      </tp>
      <tp>
        <v>7.0000000000000007E-2</v>
        <stp/>
        <stp>##V3_BDHV12</stp>
        <stp>AMZN US Equity</stp>
        <stp>IS_EARN_BEF_XO_ITEMS_PER_SH</stp>
        <stp>FQ3 2005</stp>
        <stp>FQ3 2005</stp>
        <stp>[FA1_j2ahgkxc.xlsx]Per Share!R15C29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5" s="5"/>
      </tp>
      <tp>
        <v>23.119700000000002</v>
        <stp/>
        <stp>##V3_BDHV12</stp>
        <stp>AMZN US Equity</stp>
        <stp>GROSS_MARGIN</stp>
        <stp>FQ1 2008</stp>
        <stp>FQ1 2008</stp>
        <stp>[FA1_j2ahgkxc.xlsx]Income - Adjusted!R50C39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0" s="2"/>
      </tp>
      <tp>
        <v>26.071999999999999</v>
        <stp/>
        <stp>##V3_BDHV12</stp>
        <stp>AMZN US Equity</stp>
        <stp>GROSS_MARGIN</stp>
        <stp>FQ1 2001</stp>
        <stp>FQ1 2001</stp>
        <stp>[FA1_j2ahgkxc.xlsx]Income - Adjusted!R50C11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0" s="2"/>
      </tp>
      <tp>
        <v>24.971599999999999</v>
        <stp/>
        <stp>##V3_BDHV12</stp>
        <stp>AMZN US Equity</stp>
        <stp>GROSS_MARGIN</stp>
        <stp>FQ1 2003</stp>
        <stp>FQ1 2003</stp>
        <stp>[FA1_j2ahgkxc.xlsx]Income - Adjusted!R50C19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0" s="2"/>
      </tp>
      <tp>
        <v>26.329899999999999</v>
        <stp/>
        <stp>##V3_BDHV12</stp>
        <stp>AMZN US Equity</stp>
        <stp>GROSS_MARGIN</stp>
        <stp>FQ1 2002</stp>
        <stp>FQ1 2002</stp>
        <stp>[FA1_j2ahgkxc.xlsx]Income - Adjusted!R50C15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0" s="2"/>
      </tp>
      <tp>
        <v>23.8474</v>
        <stp/>
        <stp>##V3_BDHV12</stp>
        <stp>AMZN US Equity</stp>
        <stp>GROSS_MARGIN</stp>
        <stp>FQ1 2007</stp>
        <stp>FQ1 2007</stp>
        <stp>[FA1_j2ahgkxc.xlsx]Income - Adjusted!R50C35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0" s="2"/>
      </tp>
      <tp>
        <v>24.001799999999999</v>
        <stp/>
        <stp>##V3_BDHV12</stp>
        <stp>AMZN US Equity</stp>
        <stp>GROSS_MARGIN</stp>
        <stp>FQ1 2006</stp>
        <stp>FQ1 2006</stp>
        <stp>[FA1_j2ahgkxc.xlsx]Income - Adjusted!R50C31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0" s="2"/>
      </tp>
      <tp>
        <v>23.578499999999998</v>
        <stp/>
        <stp>##V3_BDHV12</stp>
        <stp>AMZN US Equity</stp>
        <stp>GROSS_MARGIN</stp>
        <stp>FQ1 2004</stp>
        <stp>FQ1 2004</stp>
        <stp>[FA1_j2ahgkxc.xlsx]Income - Adjusted!R50C23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0" s="2"/>
      </tp>
      <tp>
        <v>24.079899999999999</v>
        <stp/>
        <stp>##V3_BDHV12</stp>
        <stp>AMZN US Equity</stp>
        <stp>GROSS_MARGIN</stp>
        <stp>FQ1 2005</stp>
        <stp>FQ1 2005</stp>
        <stp>[FA1_j2ahgkxc.xlsx]Income - Adjusted!R50C27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0" s="2"/>
      </tp>
      <tp>
        <v>-22.6236</v>
        <stp/>
        <stp>##V3_BDHV12</stp>
        <stp>AMZN US Equity</stp>
        <stp>CHG_PCT_PERIOD</stp>
        <stp>FQ1 2005</stp>
        <stp>FQ1 2005</stp>
        <stp>[FA1_j2ahgkxc.xlsx]Stock Value!R7C27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6"/>
      </tp>
      <tp>
        <v>23.428699999999999</v>
        <stp/>
        <stp>##V3_BDHV12</stp>
        <stp>AMZN US Equity</stp>
        <stp>GROSS_MARGIN</stp>
        <stp>FQ3 2008</stp>
        <stp>FQ3 2008</stp>
        <stp>[FA1_j2ahgkxc.xlsx]Income - Adjusted!R50C41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0" s="2"/>
      </tp>
      <tp>
        <v>25.392600000000002</v>
        <stp/>
        <stp>##V3_BDHV12</stp>
        <stp>AMZN US Equity</stp>
        <stp>GROSS_MARGIN</stp>
        <stp>FQ3 2002</stp>
        <stp>FQ3 2002</stp>
        <stp>[FA1_j2ahgkxc.xlsx]Income - Adjusted!R50C17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0" s="2"/>
      </tp>
      <tp>
        <v>25.370999999999999</v>
        <stp/>
        <stp>##V3_BDHV12</stp>
        <stp>AMZN US Equity</stp>
        <stp>GROSS_MARGIN</stp>
        <stp>FQ3 2001</stp>
        <stp>FQ3 2001</stp>
        <stp>[FA1_j2ahgkxc.xlsx]Income - Adjusted!R50C13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0" s="2"/>
      </tp>
      <tp>
        <v>25.194500000000001</v>
        <stp/>
        <stp>##V3_BDHV12</stp>
        <stp>AMZN US Equity</stp>
        <stp>GROSS_MARGIN</stp>
        <stp>FQ3 2003</stp>
        <stp>FQ3 2003</stp>
        <stp>[FA1_j2ahgkxc.xlsx]Income - Adjusted!R50C21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0" s="2"/>
      </tp>
      <tp>
        <v>24.3184</v>
        <stp/>
        <stp>##V3_BDHV12</stp>
        <stp>AMZN US Equity</stp>
        <stp>GROSS_MARGIN</stp>
        <stp>FQ3 2004</stp>
        <stp>FQ3 2004</stp>
        <stp>[FA1_j2ahgkxc.xlsx]Income - Adjusted!R50C25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0" s="2"/>
      </tp>
      <tp>
        <v>24.9193</v>
        <stp/>
        <stp>##V3_BDHV12</stp>
        <stp>AMZN US Equity</stp>
        <stp>GROSS_MARGIN</stp>
        <stp>FQ3 2005</stp>
        <stp>FQ3 2005</stp>
        <stp>[FA1_j2ahgkxc.xlsx]Income - Adjusted!R50C29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0" s="2"/>
      </tp>
      <tp>
        <v>23.3599</v>
        <stp/>
        <stp>##V3_BDHV12</stp>
        <stp>AMZN US Equity</stp>
        <stp>GROSS_MARGIN</stp>
        <stp>FQ3 2007</stp>
        <stp>FQ3 2007</stp>
        <stp>[FA1_j2ahgkxc.xlsx]Income - Adjusted!R50C37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0" s="2"/>
      </tp>
      <tp>
        <v>23.7971</v>
        <stp/>
        <stp>##V3_BDHV12</stp>
        <stp>AMZN US Equity</stp>
        <stp>GROSS_MARGIN</stp>
        <stp>FQ3 2006</stp>
        <stp>FQ3 2006</stp>
        <stp>[FA1_j2ahgkxc.xlsx]Income - Adjusted!R50C33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0" s="2"/>
      </tp>
      <tp>
        <v>1259</v>
        <stp/>
        <stp>##V3_BDHV12</stp>
        <stp>AMZN US Equity</stp>
        <stp>NON_CUR_LIAB</stp>
        <stp>FQ1 2006</stp>
        <stp>FQ1 2006</stp>
        <stp>[FA1_j2ahgkxc.xlsx]Bal Sheet - Standardized!R45C31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5" s="3"/>
      </tp>
      <tp>
        <v>2264.8458999999998</v>
        <stp/>
        <stp>##V3_BDHV12</stp>
        <stp>AMZN US Equity</stp>
        <stp>NON_CUR_LIAB</stp>
        <stp>FQ3 2002</stp>
        <stp>FQ3 2002</stp>
        <stp>[FA1_j2ahgkxc.xlsx]Bal Sheet - Standardized!R45C17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5" s="3"/>
      </tp>
      <tp>
        <v>23.8001</v>
        <stp/>
        <stp>##V3_BDHV12</stp>
        <stp>AMZN US Equity</stp>
        <stp>GROSS_MARGIN</stp>
        <stp>FQ2 2008</stp>
        <stp>FQ2 2008</stp>
        <stp>[FA1_j2ahgkxc.xlsx]Income - Adjusted!R50C40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0" s="2"/>
      </tp>
      <tp>
        <v>27.081099999999999</v>
        <stp/>
        <stp>##V3_BDHV12</stp>
        <stp>AMZN US Equity</stp>
        <stp>GROSS_MARGIN</stp>
        <stp>FQ2 2002</stp>
        <stp>FQ2 2002</stp>
        <stp>[FA1_j2ahgkxc.xlsx]Income - Adjusted!R50C16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0" s="2"/>
      </tp>
      <tp>
        <v>24.904499999999999</v>
        <stp/>
        <stp>##V3_BDHV12</stp>
        <stp>AMZN US Equity</stp>
        <stp>GROSS_MARGIN</stp>
        <stp>FQ2 2003</stp>
        <stp>FQ2 2003</stp>
        <stp>[FA1_j2ahgkxc.xlsx]Income - Adjusted!R50C20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0" s="2"/>
      </tp>
      <tp>
        <v>26.9193</v>
        <stp/>
        <stp>##V3_BDHV12</stp>
        <stp>AMZN US Equity</stp>
        <stp>GROSS_MARGIN</stp>
        <stp>FQ2 2001</stp>
        <stp>FQ2 2001</stp>
        <stp>[FA1_j2ahgkxc.xlsx]Income - Adjusted!R50C12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0" s="2"/>
      </tp>
      <tp>
        <v>25.670300000000001</v>
        <stp/>
        <stp>##V3_BDHV12</stp>
        <stp>AMZN US Equity</stp>
        <stp>GROSS_MARGIN</stp>
        <stp>FQ2 2005</stp>
        <stp>FQ2 2005</stp>
        <stp>[FA1_j2ahgkxc.xlsx]Income - Adjusted!R50C28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0" s="2"/>
      </tp>
      <tp>
        <v>24.582699999999999</v>
        <stp/>
        <stp>##V3_BDHV12</stp>
        <stp>AMZN US Equity</stp>
        <stp>GROSS_MARGIN</stp>
        <stp>FQ2 2004</stp>
        <stp>FQ2 2004</stp>
        <stp>[FA1_j2ahgkxc.xlsx]Income - Adjusted!R50C24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0" s="2"/>
      </tp>
      <tp>
        <v>23.796199999999999</v>
        <stp/>
        <stp>##V3_BDHV12</stp>
        <stp>AMZN US Equity</stp>
        <stp>GROSS_MARGIN</stp>
        <stp>FQ2 2006</stp>
        <stp>FQ2 2006</stp>
        <stp>[FA1_j2ahgkxc.xlsx]Income - Adjusted!R50C32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0" s="2"/>
      </tp>
      <tp>
        <v>24.2897</v>
        <stp/>
        <stp>##V3_BDHV12</stp>
        <stp>AMZN US Equity</stp>
        <stp>GROSS_MARGIN</stp>
        <stp>FQ2 2007</stp>
        <stp>FQ2 2007</stp>
        <stp>[FA1_j2ahgkxc.xlsx]Income - Adjusted!R50C36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0" s="2"/>
      </tp>
      <tp>
        <v>36.164299999999997</v>
        <stp/>
        <stp>##V3_BDHV12</stp>
        <stp>AMZN US Equity</stp>
        <stp>CHG_PCT_PERIOD</stp>
        <stp>FQ3 2007</stp>
        <stp>FQ3 2007</stp>
        <stp>[FA1_j2ahgkxc.xlsx]Stock Value!R7C37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6"/>
      </tp>
      <tp>
        <v>14.782</v>
        <stp/>
        <stp>##V3_BDHV12</stp>
        <stp>AMZN US Equity</stp>
        <stp>CF_ACT_CASH_PAID_FOR_INT_DEBT</stp>
        <stp>FQ4 2000</stp>
        <stp>FQ4 2000</stp>
        <stp>[FA1_j2ahgkxc.xlsx]Cash Flow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4"/>
      </tp>
      <tp t="s">
        <v>—</v>
        <stp/>
        <stp>##V3_BDHV12</stp>
        <stp>AMZN US Equity</stp>
        <stp>CHG_PCT_PERIOD</stp>
        <stp>FQ3 2002</stp>
        <stp>FQ3 2002</stp>
        <stp>[FA1_j2ahgkxc.xlsx]Stock Value!R7C17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6"/>
      </tp>
      <tp>
        <v>862</v>
        <stp/>
        <stp>##V3_BDHV12</stp>
        <stp>AMZN US Equity</stp>
        <stp>NON_CUR_LIAB</stp>
        <stp>FQ1 2008</stp>
        <stp>FQ1 2008</stp>
        <stp>[FA1_j2ahgkxc.xlsx]Bal Sheet - Standardized!R45C39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5" s="3"/>
      </tp>
      <tp>
        <v>20.107399999999998</v>
        <stp/>
        <stp>##V3_BDHV12</stp>
        <stp>AMZN US Equity</stp>
        <stp>GROSS_MARGIN</stp>
        <stp>FQ4 2008</stp>
        <stp>FQ4 2008</stp>
        <stp>[FA1_j2ahgkxc.xlsx]Income - Adjusted!R50C42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0" s="2"/>
      </tp>
      <tp>
        <v>21.349699999999999</v>
        <stp/>
        <stp>##V3_BDHV12</stp>
        <stp>AMZN US Equity</stp>
        <stp>GROSS_MARGIN</stp>
        <stp>FQ4 2006</stp>
        <stp>FQ4 2006</stp>
        <stp>[FA1_j2ahgkxc.xlsx]Income - Adjusted!R50C34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0" s="2"/>
      </tp>
      <tp t="s">
        <v>—</v>
        <stp/>
        <stp>##V3_BDHV12</stp>
        <stp>AMZN US Equity</stp>
        <stp>ST_CAPITAL_LEASE_OBLIGATIONS</stp>
        <stp>FQ4 2002</stp>
        <stp>FQ4 2002</stp>
        <stp>[FA1_j2ahgkxc.xlsx]Bal Sheet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3"/>
      </tp>
      <tp>
        <v>20.623999999999999</v>
        <stp/>
        <stp>##V3_BDHV12</stp>
        <stp>AMZN US Equity</stp>
        <stp>GROSS_MARGIN</stp>
        <stp>FQ4 2007</stp>
        <stp>FQ4 2007</stp>
        <stp>[FA1_j2ahgkxc.xlsx]Income - Adjusted!R50C38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0" s="2"/>
      </tp>
      <tp>
        <v>21.427599999999998</v>
        <stp/>
        <stp>##V3_BDHV12</stp>
        <stp>AMZN US Equity</stp>
        <stp>GROSS_MARGIN</stp>
        <stp>FQ4 2004</stp>
        <stp>FQ4 2004</stp>
        <stp>[FA1_j2ahgkxc.xlsx]Income - Adjusted!R50C26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0" s="2"/>
      </tp>
      <tp>
        <v>22.405100000000001</v>
        <stp/>
        <stp>##V3_BDHV12</stp>
        <stp>AMZN US Equity</stp>
        <stp>GROSS_MARGIN</stp>
        <stp>FQ4 2005</stp>
        <stp>FQ4 2005</stp>
        <stp>[FA1_j2ahgkxc.xlsx]Income - Adjusted!R50C30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0" s="2"/>
      </tp>
      <tp>
        <v>21.936599999999999</v>
        <stp/>
        <stp>##V3_BDHV12</stp>
        <stp>AMZN US Equity</stp>
        <stp>GROSS_MARGIN</stp>
        <stp>FQ4 2003</stp>
        <stp>FQ4 2003</stp>
        <stp>[FA1_j2ahgkxc.xlsx]Income - Adjusted!R50C22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0" s="2"/>
      </tp>
      <tp>
        <v>23.067599999999999</v>
        <stp/>
        <stp>##V3_BDHV12</stp>
        <stp>AMZN US Equity</stp>
        <stp>GROSS_MARGIN</stp>
        <stp>FQ4 2000</stp>
        <stp>FQ4 2000</stp>
        <stp>[FA1_j2ahgkxc.xlsx]Income - Adjusted!R50C10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0" s="2"/>
      </tp>
      <tp>
        <v>24.5746</v>
        <stp/>
        <stp>##V3_BDHV12</stp>
        <stp>AMZN US Equity</stp>
        <stp>GROSS_MARGIN</stp>
        <stp>FQ4 2001</stp>
        <stp>FQ4 2001</stp>
        <stp>[FA1_j2ahgkxc.xlsx]Income - Adjusted!R50C14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0" s="2"/>
      </tp>
      <tp>
        <v>23.4605</v>
        <stp/>
        <stp>##V3_BDHV12</stp>
        <stp>AMZN US Equity</stp>
        <stp>GROSS_MARGIN</stp>
        <stp>FQ4 2002</stp>
        <stp>FQ4 2002</stp>
        <stp>[FA1_j2ahgkxc.xlsx]Income - Adjusted!R50C18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0" s="2"/>
      </tp>
      <tp>
        <v>2172.1640000000002</v>
        <stp/>
        <stp>##V3_BDHV12</stp>
        <stp>AMZN US Equity</stp>
        <stp>NON_CUR_LIAB</stp>
        <stp>FQ3 2001</stp>
        <stp>FQ3 2001</stp>
        <stp>[FA1_j2ahgkxc.xlsx]Bal Sheet - Standardized!R45C13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5" s="3"/>
      </tp>
      <tp>
        <v>1.194</v>
        <stp/>
        <stp>##V3_BDHV12</stp>
        <stp>AMZN US Equity</stp>
        <stp>CF_ACT_CASH_PAID_FOR_INT_DEBT</stp>
        <stp>FQ4 2001</stp>
        <stp>FQ4 2001</stp>
        <stp>[FA1_j2ahgkxc.xlsx]Cash Flow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4"/>
      </tp>
      <tp>
        <v>1461</v>
        <stp/>
        <stp>##V3_BDHV12</stp>
        <stp>AMZN US Equity</stp>
        <stp>NON_CUR_LIAB</stp>
        <stp>FQ1 2007</stp>
        <stp>FQ1 2007</stp>
        <stp>[FA1_j2ahgkxc.xlsx]Bal Sheet - Standardized!R45C35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5" s="3"/>
      </tp>
      <tp>
        <v>0.64200000000000002</v>
        <stp/>
        <stp>##V3_BDHV12</stp>
        <stp>AMZN US Equity</stp>
        <stp>CF_ACT_CASH_PAID_FOR_INT_DEBT</stp>
        <stp>FQ4 2002</stp>
        <stp>FQ4 2002</stp>
        <stp>[FA1_j2ahgkxc.xlsx]Cash Flow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4"/>
      </tp>
      <tp t="s">
        <v>—</v>
        <stp/>
        <stp>##V3_BDHV12</stp>
        <stp>AMZN US Equity</stp>
        <stp>ST_CAPITAL_LEASE_OBLIGATIONS</stp>
        <stp>FQ4 2001</stp>
        <stp>FQ4 2001</stp>
        <stp>[FA1_j2ahgkxc.xlsx]Bal Sheet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3"/>
      </tp>
      <tp>
        <v>0.19</v>
        <stp/>
        <stp>##V3_BDHV12</stp>
        <stp>AMZN US Equity</stp>
        <stp>IS_DIL_EPS_CONT_OPS</stp>
        <stp>FQ3 2007</stp>
        <stp>FQ3 2007</stp>
        <stp>[FA1_j2ahgkxc.xlsx]Income - Adjusted!R42C37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2" s="2"/>
      </tp>
      <tp>
        <v>0.18</v>
        <stp/>
        <stp>##V3_BDHV12</stp>
        <stp>AMZN US Equity</stp>
        <stp>IS_DIL_EPS_CONT_OPS</stp>
        <stp>FQ2 2004</stp>
        <stp>FQ2 2004</stp>
        <stp>[FA1_j2ahgkxc.xlsx]Income - Adjusted!R42C24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2" s="2"/>
      </tp>
      <tp>
        <v>-0.21</v>
        <stp/>
        <stp>##V3_BDHV12</stp>
        <stp>AMZN US Equity</stp>
        <stp>IS_DIL_EPS_CONT_OPS</stp>
        <stp>FQ1 2001</stp>
        <stp>FQ1 2001</stp>
        <stp>[FA1_j2ahgkxc.xlsx]Income - Adjusted!R42C11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2" s="2"/>
      </tp>
      <tp>
        <v>-0.25</v>
        <stp/>
        <stp>##V3_BDHV12</stp>
        <stp>AMZN US Equity</stp>
        <stp>IS_DIL_EPS_CONT_OPS</stp>
        <stp>FQ4 2000</stp>
        <stp>FQ4 2000</stp>
        <stp>[FA1_j2ahgkxc.xlsx]Income - Adjusted!R42C10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2" s="2"/>
      </tp>
      <tp t="s">
        <v>—</v>
        <stp/>
        <stp>##V3_BDHV12</stp>
        <stp>AMZN US Equity</stp>
        <stp>ST_CAPITAL_LEASE_OBLIGATIONS</stp>
        <stp>FQ4 2000</stp>
        <stp>FQ4 2000</stp>
        <stp>[FA1_j2ahgkxc.xlsx]Bal Sheet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3"/>
      </tp>
      <tp t="s">
        <v>—</v>
        <stp/>
        <stp>##V3_BDHV12</stp>
        <stp>AMZN US Equity</stp>
        <stp>LT_CAPITAL_LEASE_OBLIGATIONS</stp>
        <stp>FQ4 2001</stp>
        <stp>FQ4 2001</stp>
        <stp>[FA1_j2ahgkxc.xlsx]Bal Sheet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3"/>
      </tp>
      <tp>
        <v>2832</v>
        <stp/>
        <stp>##V3_BDHV12</stp>
        <stp>AMZN US Equity</stp>
        <stp>BS_TOT_ASSET</stp>
        <stp>FQ3 2005</stp>
        <stp>FQ3 2005</stp>
        <stp>[FA1_j2ahgkxc.xlsx]Bal Sheet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3"/>
      </tp>
      <tp t="s">
        <v>—</v>
        <stp/>
        <stp>##V3_BDHV12</stp>
        <stp>AMZN US Equity</stp>
        <stp>LT_CAPITAL_LEASE_OBLIGATIONS</stp>
        <stp>FQ4 2000</stp>
        <stp>FQ4 2000</stp>
        <stp>[FA1_j2ahgkxc.xlsx]Bal Sheet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3"/>
      </tp>
      <tp>
        <v>-86.540999999999997</v>
        <stp/>
        <stp>##V3_BDHV12</stp>
        <stp>AMZN US Equity</stp>
        <stp>NET_CHG_IN_LT_INVEST_DETAILED</stp>
        <stp>FQ2 2002</stp>
        <stp>FQ2 2002</stp>
        <stp>[FA1_j2ahgkxc.xlsx]Cash Flow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4"/>
      </tp>
      <tp>
        <v>0</v>
        <stp/>
        <stp>##V3_BDHV12</stp>
        <stp>AMZN US Equity</stp>
        <stp>NET_CHG_IN_LT_INVEST_DETAILED</stp>
        <stp>FQ1 2004</stp>
        <stp>FQ1 2004</stp>
        <stp>[FA1_j2ahgkxc.xlsx]Cash Flow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4"/>
      </tp>
      <tp>
        <v>3165</v>
        <stp/>
        <stp>##V3_BDHV12</stp>
        <stp>AMZN US Equity</stp>
        <stp>BS_TOT_ASSET</stp>
        <stp>FQ2 2006</stp>
        <stp>FQ2 2006</stp>
        <stp>[FA1_j2ahgkxc.xlsx]Bal Sheet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3"/>
      </tp>
      <tp>
        <v>1749.6850999999999</v>
        <stp/>
        <stp>##V3_BDHV12</stp>
        <stp>AMZN US Equity</stp>
        <stp>BS_TOT_ASSET</stp>
        <stp>FQ3 2003</stp>
        <stp>FQ3 2003</stp>
        <stp>[FA1_j2ahgkxc.xlsx]Bal Sheet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3"/>
      </tp>
      <tp>
        <v>0</v>
        <stp/>
        <stp>##V3_BDHV12</stp>
        <stp>AMZN US Equity</stp>
        <stp>NET_CHG_IN_LT_INVEST_DETAILED</stp>
        <stp>FQ1 2005</stp>
        <stp>FQ1 2005</stp>
        <stp>[FA1_j2ahgkxc.xlsx]Cash Flow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4"/>
      </tp>
      <tp t="s">
        <v>—</v>
        <stp/>
        <stp>##V3_BDHV12</stp>
        <stp>AMZN US Equity</stp>
        <stp>LT_CAPITAL_LEASE_OBLIGATIONS</stp>
        <stp>FQ4 2002</stp>
        <stp>FQ4 2002</stp>
        <stp>[FA1_j2ahgkxc.xlsx]Bal Sheet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3"/>
      </tp>
      <tp>
        <v>3984</v>
        <stp/>
        <stp>##V3_BDHV12</stp>
        <stp>AMZN US Equity</stp>
        <stp>BS_TOT_ASSET</stp>
        <stp>FQ2 2007</stp>
        <stp>FQ2 2007</stp>
        <stp>[FA1_j2ahgkxc.xlsx]Bal Sheet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3"/>
      </tp>
      <tp>
        <v>40.228000000000002</v>
        <stp/>
        <stp>##V3_BDHV12</stp>
        <stp>AMZN US Equity</stp>
        <stp>NET_CHG_IN_LT_INVEST_DETAILED</stp>
        <stp>FQ2 2001</stp>
        <stp>FQ2 2001</stp>
        <stp>[FA1_j2ahgkxc.xlsx]Cash Flow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4"/>
      </tp>
      <tp>
        <v>2108.6680000000001</v>
        <stp/>
        <stp>##V3_BDHV12</stp>
        <stp>AMZN US Equity</stp>
        <stp>BS_TOT_ASSET</stp>
        <stp>FQ3 2004</stp>
        <stp>FQ3 2004</stp>
        <stp>[FA1_j2ahgkxc.xlsx]Bal Sheet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3"/>
      </tp>
      <tp>
        <v>5.2195999999999998</v>
        <stp/>
        <stp>##V3_BDHV12</stp>
        <stp>AMZN US Equity</stp>
        <stp>TANG_BOOK_VAL_PER_SH</stp>
        <stp>FQ4 2008</stp>
        <stp>FQ4 2008</stp>
        <stp>[FA1_j2ahgkxc.xlsx]Per Share!R27C42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7" s="5"/>
      </tp>
      <tp>
        <v>-3.6789000000000001</v>
        <stp/>
        <stp>##V3_BDHV12</stp>
        <stp>AMZN US Equity</stp>
        <stp>TANG_BOOK_VAL_PER_SH</stp>
        <stp>FQ4 2002</stp>
        <stp>FQ4 2002</stp>
        <stp>[FA1_j2ahgkxc.xlsx]Per Share!R27C18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7" s="5"/>
      </tp>
      <tp>
        <v>-3.4790000000000001</v>
        <stp/>
        <stp>##V3_BDHV12</stp>
        <stp>AMZN US Equity</stp>
        <stp>TANG_BOOK_VAL_PER_SH</stp>
        <stp>FQ1 2003</stp>
        <stp>FQ1 2003</stp>
        <stp>[FA1_j2ahgkxc.xlsx]Per Share!R27C19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7" s="5"/>
      </tp>
      <tp>
        <v>-82.18</v>
        <stp/>
        <stp>##V3_BDHV12</stp>
        <stp>AMZN US Equity</stp>
        <stp>IS_OPER_INC</stp>
        <stp>FQ4 1999</stp>
        <stp>FQ4 1999</stp>
        <stp>[FA1_j2ahgkxc.xlsx]Income - Adjusted!R12C7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>
        <v>-65.036000000000001</v>
        <stp/>
        <stp>##V3_BDHV12</stp>
        <stp>AMZN US Equity</stp>
        <stp>TCE_RATIO</stp>
        <stp>FQ4 2000</stp>
        <stp>FQ4 2000</stp>
        <stp>[FA1_j2ahgkxc.xlsx]Bal Sheet - Standardized!R67C10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7" s="3"/>
      </tp>
      <tp>
        <v>-138.00800000000001</v>
        <stp/>
        <stp>##V3_BDHV12</stp>
        <stp>AMZN US Equity</stp>
        <stp>NI_INCLUDING_MINORITY_INT_RATIO</stp>
        <stp>FQ2 1999</stp>
        <stp>FQ2 1999</stp>
        <stp>[FA1_j2ahgkxc.xlsx]Income - Adjusted!R24C5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4" s="2"/>
      </tp>
      <tp>
        <v>0</v>
        <stp/>
        <stp>##V3_BDHV12</stp>
        <stp>AMZN US Equity</stp>
        <stp>MIN_NONCONTROL_INTEREST_CREDITS</stp>
        <stp>FQ2 1999</stp>
        <stp>FQ2 1999</stp>
        <stp>[FA1_j2ahgkxc.xlsx]Income - Adjusted!R25C5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5" s="2"/>
      </tp>
      <tp>
        <v>-0.63</v>
        <stp/>
        <stp>##V3_BDHV12</stp>
        <stp>AMZN US Equity</stp>
        <stp>IS_DIL_EPS_BEF_XO</stp>
        <stp>FQ1 2001</stp>
        <stp>FQ1 2001</stp>
        <stp>[FA1_j2ahgkxc.xlsx]Per Share!R18C11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8" s="5"/>
      </tp>
      <tp>
        <v>0.18</v>
        <stp/>
        <stp>##V3_BDHV12</stp>
        <stp>AMZN US Equity</stp>
        <stp>IS_DIL_EPS_BEF_XO</stp>
        <stp>FQ2 2004</stp>
        <stp>FQ2 2004</stp>
        <stp>[FA1_j2ahgkxc.xlsx]Per Share!R18C24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8" s="5"/>
      </tp>
      <tp>
        <v>0.19</v>
        <stp/>
        <stp>##V3_BDHV12</stp>
        <stp>AMZN US Equity</stp>
        <stp>IS_DIL_EPS_BEF_XO</stp>
        <stp>FQ3 2007</stp>
        <stp>FQ3 2007</stp>
        <stp>[FA1_j2ahgkxc.xlsx]Per Share!R18C37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8" s="5"/>
      </tp>
      <tp>
        <v>-1.53</v>
        <stp/>
        <stp>##V3_BDHV12</stp>
        <stp>AMZN US Equity</stp>
        <stp>IS_DIL_EPS_BEF_XO</stp>
        <stp>FQ4 2000</stp>
        <stp>FQ4 2000</stp>
        <stp>[FA1_j2ahgkxc.xlsx]Per Share!R18C10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8" s="5"/>
      </tp>
      <tp t="s">
        <v>—</v>
        <stp/>
        <stp>##V3_BDHV12</stp>
        <stp>AMZN US Equity</stp>
        <stp>IS_SELLING_EXPENSES</stp>
        <stp>FQ4 2004</stp>
        <stp>FQ4 2004</stp>
        <stp>[FA1_j2ahgkxc.xlsx]Income - Adjusted!R11C26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1" s="2"/>
      </tp>
      <tp t="s">
        <v>—</v>
        <stp/>
        <stp>##V3_BDHV12</stp>
        <stp>AMZN US Equity</stp>
        <stp>IS_SELLING_EXPENSES</stp>
        <stp>FQ4 2006</stp>
        <stp>FQ4 2006</stp>
        <stp>[FA1_j2ahgkxc.xlsx]Income - Adjusted!R11C34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1" s="2"/>
      </tp>
      <tp t="s">
        <v>—</v>
        <stp/>
        <stp>##V3_BDHV12</stp>
        <stp>AMZN US Equity</stp>
        <stp>IS_SELLING_EXPENSES</stp>
        <stp>FQ1 2005</stp>
        <stp>FQ1 2005</stp>
        <stp>[FA1_j2ahgkxc.xlsx]Income - Adjusted!R11C27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1" s="2"/>
      </tp>
      <tp t="s">
        <v>—</v>
        <stp/>
        <stp>##V3_BDHV12</stp>
        <stp>AMZN US Equity</stp>
        <stp>IS_SELLING_EXPENSES</stp>
        <stp>FQ1 2007</stp>
        <stp>FQ1 2007</stp>
        <stp>[FA1_j2ahgkxc.xlsx]Income - Adjusted!R11C35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1" s="2"/>
      </tp>
      <tp t="s">
        <v>—</v>
        <stp/>
        <stp>##V3_BDHV12</stp>
        <stp>AMZN US Equity</stp>
        <stp>IS_SELLING_EXPENSES</stp>
        <stp>FQ3 2003</stp>
        <stp>FQ3 2003</stp>
        <stp>[FA1_j2ahgkxc.xlsx]Income - Adjusted!R11C21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1" s="2"/>
      </tp>
      <tp t="s">
        <v>—</v>
        <stp/>
        <stp>##V3_BDHV12</stp>
        <stp>AMZN US Equity</stp>
        <stp>IS_SELLING_EXPENSES</stp>
        <stp>FQ3 2001</stp>
        <stp>FQ3 2001</stp>
        <stp>[FA1_j2ahgkxc.xlsx]Income - Adjusted!R11C13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1" s="2"/>
      </tp>
      <tp>
        <v>0</v>
        <stp/>
        <stp>##V3_BDHV12</stp>
        <stp>AMZN US Equity</stp>
        <stp>MIN_NONCONTROL_INTEREST_CREDITS</stp>
        <stp>FQ2 2006</stp>
        <stp>FQ2 2006</stp>
        <stp>[FA1_j2ahgkxc.xlsx]Income - Adjusted!R25C32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5" s="2"/>
      </tp>
      <tp>
        <v>0</v>
        <stp/>
        <stp>##V3_BDHV12</stp>
        <stp>AMZN US Equity</stp>
        <stp>MIN_NONCONTROL_INTEREST_CREDITS</stp>
        <stp>FQ2 2002</stp>
        <stp>FQ2 2002</stp>
        <stp>[FA1_j2ahgkxc.xlsx]Income - Adjusted!R25C16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5" s="2"/>
      </tp>
      <tp t="s">
        <v>—</v>
        <stp/>
        <stp>##V3_BDHV12</stp>
        <stp>AMZN US Equity</stp>
        <stp>CF_FREE_CASH_FLOW_FIRM</stp>
        <stp>FQ2 1999</stp>
        <stp>FQ2 1999</stp>
        <stp>[FA1_j2ahgkxc.xlsx]Cash Flow - Standardized!R50C4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50" s="4"/>
      </tp>
      <tp t="s">
        <v>—</v>
        <stp/>
        <stp>##V3_BDHV12</stp>
        <stp>AMZN US Equity</stp>
        <stp>CF_FREE_CASH_FLOW_FIRM</stp>
        <stp>FQ3 1999</stp>
        <stp>FQ3 1999</stp>
        <stp>[FA1_j2ahgkxc.xlsx]Cash Flow - Standardized!R50C5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50" s="4"/>
      </tp>
      <tp t="s">
        <v>—</v>
        <stp/>
        <stp>##V3_BDHV12</stp>
        <stp>AMZN US Equity</stp>
        <stp>CF_FREE_CASH_FLOW_FIRM</stp>
        <stp>FQ1 2000</stp>
        <stp>FQ1 2000</stp>
        <stp>[FA1_j2ahgkxc.xlsx]Cash Flow - Standardized!R50C7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50" s="4"/>
      </tp>
      <tp>
        <v>373.44499999999999</v>
        <stp/>
        <stp>##V3_BDHV12</stp>
        <stp>AMZN US Equity</stp>
        <stp>C&amp;CE_AND_STI_DETAILED</stp>
        <stp>FQ4 1998</stp>
        <stp>FQ4 1998</stp>
        <stp>[FA1_j2ahgkxc.xlsx]Bal Sheet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3"/>
      </tp>
      <tp t="s">
        <v>—</v>
        <stp/>
        <stp>##V3_BDHV12</stp>
        <stp>AMZN US Equity</stp>
        <stp>NUM_OF_EMPLOYEES</stp>
        <stp>FQ2 2008</stp>
        <stp>FQ2 2008</stp>
        <stp>[FA1_j2ahgkxc.xlsx]Bal Sheet - Standardized!R70C40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0" s="3"/>
      </tp>
      <tp t="s">
        <v>—</v>
        <stp/>
        <stp>##V3_BDHV12</stp>
        <stp>AMZN US Equity</stp>
        <stp>NUM_OF_EMPLOYEES</stp>
        <stp>FQ3 2008</stp>
        <stp>FQ3 2008</stp>
        <stp>[FA1_j2ahgkxc.xlsx]Bal Sheet - Standardized!R70C41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0" s="3"/>
      </tp>
      <tp>
        <v>4466.0303999999996</v>
        <stp/>
        <stp>##V3_BDHV12</stp>
        <stp>AMZN US Equity</stp>
        <stp>NET_DEBT_TO_SHRHLDR_EQTY</stp>
        <stp>FQ1 2000</stp>
        <stp>FQ1 2000</stp>
        <stp>[FA1_j2ahgkxc.xlsx]Bal Sheet - Standardized!R66C8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6" s="3"/>
      </tp>
      <tp>
        <v>2127.4641000000001</v>
        <stp/>
        <stp>##V3_BDHV12</stp>
        <stp>AMZN US Equity</stp>
        <stp>NON_CUR_LIAB</stp>
        <stp>FQ4 2000</stp>
        <stp>FQ4 2000</stp>
        <stp>[FA1_j2ahgkxc.xlsx]Bal Sheet - Standardized!R45C10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5" s="3"/>
      </tp>
      <tp>
        <v>63</v>
        <stp/>
        <stp>##V3_BDHV12</stp>
        <stp>AMZN US Equity</stp>
        <stp>CF_ACT_CASH_PAID_FOR_INT_DEBT</stp>
        <stp>FQ1 2006</stp>
        <stp>FQ1 2006</stp>
        <stp>[FA1_j2ahgkxc.xlsx]Cash Flow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4"/>
      </tp>
      <tp>
        <v>29.898</v>
        <stp/>
        <stp>##V3_BDHV12</stp>
        <stp>AMZN US Equity</stp>
        <stp>CF_ACT_CASH_PAID_FOR_INT_DEBT</stp>
        <stp>FQ3 2002</stp>
        <stp>FQ3 2002</stp>
        <stp>[FA1_j2ahgkxc.xlsx]Cash Flow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4"/>
      </tp>
      <tp>
        <v>39.531300000000002</v>
        <stp/>
        <stp>##V3_BDHV12</stp>
        <stp>AMZN US Equity</stp>
        <stp>CHG_PCT_PERIOD</stp>
        <stp>FQ2 2003</stp>
        <stp>FQ2 2003</stp>
        <stp>[FA1_j2ahgkxc.xlsx]Stock Value!R7C20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6"/>
      </tp>
      <tp>
        <v>2.8471000000000002</v>
        <stp/>
        <stp>##V3_BDHV12</stp>
        <stp>AMZN US Equity</stp>
        <stp>CHG_PCT_PERIOD</stp>
        <stp>FQ2 2008</stp>
        <stp>FQ2 2008</stp>
        <stp>[FA1_j2ahgkxc.xlsx]Stock Value!R7C40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6"/>
      </tp>
      <tp>
        <v>43</v>
        <stp/>
        <stp>##V3_BDHV12</stp>
        <stp>AMZN US Equity</stp>
        <stp>CF_ACT_CASH_PAID_FOR_INT_DEBT</stp>
        <stp>FQ1 2007</stp>
        <stp>FQ1 2007</stp>
        <stp>[FA1_j2ahgkxc.xlsx]Cash Flow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4"/>
      </tp>
      <tp>
        <v>-59.5122</v>
        <stp/>
        <stp>##V3_BDHV12</stp>
        <stp>AMZN US Equity</stp>
        <stp>CHG_PCT_PERIOD</stp>
        <stp>FQ4 2000</stp>
        <stp>FQ4 2000</stp>
        <stp>[FA1_j2ahgkxc.xlsx]Stock Value!R7C10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6"/>
      </tp>
      <tp>
        <v>4.0838999999999999</v>
        <stp/>
        <stp>##V3_BDHV12</stp>
        <stp>AMZN US Equity</stp>
        <stp>CHG_PCT_PERIOD</stp>
        <stp>FQ4 2005</stp>
        <stp>FQ4 2005</stp>
        <stp>[FA1_j2ahgkxc.xlsx]Stock Value!R7C30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6"/>
      </tp>
      <tp>
        <v>2156.1331</v>
        <stp/>
        <stp>##V3_BDHV12</stp>
        <stp>AMZN US Equity</stp>
        <stp>NON_CUR_LIAB</stp>
        <stp>FQ4 2001</stp>
        <stp>FQ4 2001</stp>
        <stp>[FA1_j2ahgkxc.xlsx]Bal Sheet - Standardized!R45C14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5" s="3"/>
      </tp>
      <tp>
        <v>30.274999999999999</v>
        <stp/>
        <stp>##V3_BDHV12</stp>
        <stp>AMZN US Equity</stp>
        <stp>CF_ACT_CASH_PAID_FOR_INT_DEBT</stp>
        <stp>FQ3 2001</stp>
        <stp>FQ3 2001</stp>
        <stp>[FA1_j2ahgkxc.xlsx]Cash Flow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4"/>
      </tp>
      <tp>
        <v>46</v>
        <stp/>
        <stp>##V3_BDHV12</stp>
        <stp>AMZN US Equity</stp>
        <stp>CF_ACT_CASH_PAID_FOR_INT_DEBT</stp>
        <stp>FQ1 2008</stp>
        <stp>FQ1 2008</stp>
        <stp>[FA1_j2ahgkxc.xlsx]Cash Flow - Standardized!R42C39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4"/>
      </tp>
      <tp t="s">
        <v>—</v>
        <stp/>
        <stp>##V3_BDHV12</stp>
        <stp>AMZN US Equity</stp>
        <stp>ST_CAPITAL_LEASE_OBLIGATIONS</stp>
        <stp>FQ1 2007</stp>
        <stp>FQ1 2007</stp>
        <stp>[FA1_j2ahgkxc.xlsx]Bal Sheet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3"/>
      </tp>
      <tp t="s">
        <v>—</v>
        <stp/>
        <stp>##V3_BDHV12</stp>
        <stp>AMZN US Equity</stp>
        <stp>ST_CAPITAL_LEASE_OBLIGATIONS</stp>
        <stp>FQ3 2001</stp>
        <stp>FQ3 2001</stp>
        <stp>[FA1_j2ahgkxc.xlsx]Bal Sheet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3"/>
      </tp>
      <tp>
        <v>2277.3049000000001</v>
        <stp/>
        <stp>##V3_BDHV12</stp>
        <stp>AMZN US Equity</stp>
        <stp>NON_CUR_LIAB</stp>
        <stp>FQ4 2002</stp>
        <stp>FQ4 2002</stp>
        <stp>[FA1_j2ahgkxc.xlsx]Bal Sheet - Standardized!R45C18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5" s="3"/>
      </tp>
      <tp t="s">
        <v>—</v>
        <stp/>
        <stp>##V3_BDHV12</stp>
        <stp>AMZN US Equity</stp>
        <stp>ST_CAPITAL_LEASE_OBLIGATIONS</stp>
        <stp>FQ1 2008</stp>
        <stp>FQ1 2008</stp>
        <stp>[FA1_j2ahgkxc.xlsx]Bal Sheet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3"/>
      </tp>
      <tp t="s">
        <v>—</v>
        <stp/>
        <stp>##V3_BDHV12</stp>
        <stp>AMZN US Equity</stp>
        <stp>ST_CAPITAL_LEASE_OBLIGATIONS</stp>
        <stp>FQ3 2002</stp>
        <stp>FQ3 2002</stp>
        <stp>[FA1_j2ahgkxc.xlsx]Bal Sheet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3"/>
      </tp>
      <tp t="s">
        <v>—</v>
        <stp/>
        <stp>##V3_BDHV12</stp>
        <stp>AMZN US Equity</stp>
        <stp>ST_CAPITAL_LEASE_OBLIGATIONS</stp>
        <stp>FQ1 2006</stp>
        <stp>FQ1 2006</stp>
        <stp>[FA1_j2ahgkxc.xlsx]Bal Sheet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3"/>
      </tp>
      <tp>
        <v>0.12</v>
        <stp/>
        <stp>##V3_BDHV12</stp>
        <stp>AMZN US Equity</stp>
        <stp>IS_DIL_EPS_CONT_OPS</stp>
        <stp>FQ1 2006</stp>
        <stp>FQ1 2006</stp>
        <stp>[FA1_j2ahgkxc.xlsx]Income - Adjusted!R42C31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2" s="2"/>
      </tp>
      <tp>
        <v>0.23</v>
        <stp/>
        <stp>##V3_BDHV12</stp>
        <stp>AMZN US Equity</stp>
        <stp>IS_DIL_EPS_CONT_OPS</stp>
        <stp>FQ1 2004</stp>
        <stp>FQ1 2004</stp>
        <stp>[FA1_j2ahgkxc.xlsx]Income - Adjusted!R42C23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2" s="2"/>
      </tp>
      <tp>
        <v>-0.01</v>
        <stp/>
        <stp>##V3_BDHV12</stp>
        <stp>AMZN US Equity</stp>
        <stp>IS_DIL_EPS_CONT_OPS</stp>
        <stp>FQ1 2002</stp>
        <stp>FQ1 2002</stp>
        <stp>[FA1_j2ahgkxc.xlsx]Income - Adjusted!R42C15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2" s="2"/>
      </tp>
      <tp t="s">
        <v>—</v>
        <stp/>
        <stp>##V3_BDHV12</stp>
        <stp>AMZN US Equity</stp>
        <stp>LT_CAPITAL_LEASE_OBLIGATIONS</stp>
        <stp>FQ1 2007</stp>
        <stp>FQ1 2007</stp>
        <stp>[FA1_j2ahgkxc.xlsx]Bal Sheet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3"/>
      </tp>
      <tp t="s">
        <v>—</v>
        <stp/>
        <stp>##V3_BDHV12</stp>
        <stp>AMZN US Equity</stp>
        <stp>LT_CAPITAL_LEASE_OBLIGATIONS</stp>
        <stp>FQ3 2001</stp>
        <stp>FQ3 2001</stp>
        <stp>[FA1_j2ahgkxc.xlsx]Bal Sheet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3"/>
      </tp>
      <tp t="s">
        <v>—</v>
        <stp/>
        <stp>##V3_BDHV12</stp>
        <stp>AMZN US Equity</stp>
        <stp>LT_CAPITAL_LEASE_OBLIGATIONS</stp>
        <stp>FQ1 2008</stp>
        <stp>FQ1 2008</stp>
        <stp>[FA1_j2ahgkxc.xlsx]Bal Sheet - Standardized!R42C39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3"/>
      </tp>
      <tp t="s">
        <v>—</v>
        <stp/>
        <stp>##V3_BDHV12</stp>
        <stp>AMZN US Equity</stp>
        <stp>LT_CAPITAL_LEASE_OBLIGATIONS</stp>
        <stp>FQ1 2006</stp>
        <stp>FQ1 2006</stp>
        <stp>[FA1_j2ahgkxc.xlsx]Bal Sheet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3"/>
      </tp>
      <tp t="s">
        <v>—</v>
        <stp/>
        <stp>##V3_BDHV12</stp>
        <stp>AMZN US Equity</stp>
        <stp>LT_CAPITAL_LEASE_OBLIGATIONS</stp>
        <stp>FQ3 2002</stp>
        <stp>FQ3 2002</stp>
        <stp>[FA1_j2ahgkxc.xlsx]Bal Sheet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3"/>
      </tp>
      <tp>
        <v>6322</v>
        <stp/>
        <stp>##V3_BDHV12</stp>
        <stp>AMZN US Equity</stp>
        <stp>BS_TOT_ASSET</stp>
        <stp>FQ2 2008</stp>
        <stp>FQ2 2008</stp>
        <stp>[FA1_j2ahgkxc.xlsx]Bal Sheet - Standardized!R29C40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9" s="3"/>
      </tp>
      <tp>
        <v>2162.0329999999999</v>
        <stp/>
        <stp>##V3_BDHV12</stp>
        <stp>AMZN US Equity</stp>
        <stp>BS_TOT_ASSET</stp>
        <stp>FQ4 2003</stp>
        <stp>FQ4 2003</stp>
        <stp>[FA1_j2ahgkxc.xlsx]Bal Sheet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3"/>
      </tp>
      <tp>
        <v>3248.5081</v>
        <stp/>
        <stp>##V3_BDHV12</stp>
        <stp>AMZN US Equity</stp>
        <stp>BS_TOT_ASSET</stp>
        <stp>FQ4 2004</stp>
        <stp>FQ4 2004</stp>
        <stp>[FA1_j2ahgkxc.xlsx]Bal Sheet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3"/>
      </tp>
      <tp>
        <v>387.90600000000001</v>
        <stp/>
        <stp>##V3_BDHV12</stp>
        <stp>AMZN US Equity</stp>
        <stp>BS_SH_OUT</stp>
        <stp>FQ4 2002</stp>
        <stp>FQ4 2002</stp>
        <stp>[FA1_j2ahgkxc.xlsx]Bal Sheet - Standardized!R59C18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9" s="3"/>
      </tp>
      <tp>
        <v>-0.52910000000000001</v>
        <stp/>
        <stp>##V3_BDHV12</stp>
        <stp>AMZN US Equity</stp>
        <stp>TANG_BOOK_VAL_PER_SH</stp>
        <stp>FQ2 2005</stp>
        <stp>FQ2 2005</stp>
        <stp>[FA1_j2ahgkxc.xlsx]Per Share!R27C28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7" s="5"/>
      </tp>
      <tp>
        <v>428</v>
        <stp/>
        <stp>##V3_BDHV12</stp>
        <stp>AMZN US Equity</stp>
        <stp>BS_SH_OUT</stp>
        <stp>FQ4 2008</stp>
        <stp>FQ4 2008</stp>
        <stp>[FA1_j2ahgkxc.xlsx]Bal Sheet - Standardized!R59C42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9" s="3"/>
      </tp>
      <tp>
        <v>4.5309999999999997</v>
        <stp/>
        <stp>##V3_BDHV12</stp>
        <stp>AMZN US Equity</stp>
        <stp>TCE_RATIO</stp>
        <stp>FQ1 2007</stp>
        <stp>FQ1 2007</stp>
        <stp>[FA1_j2ahgkxc.xlsx]Bal Sheet - Standardized!R67C35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7" s="3"/>
      </tp>
      <tp>
        <v>12.3409</v>
        <stp/>
        <stp>##V3_BDHV12</stp>
        <stp>AMZN US Equity</stp>
        <stp>TCE_RATIO</stp>
        <stp>FQ3 2007</stp>
        <stp>FQ3 2007</stp>
        <stp>[FA1_j2ahgkxc.xlsx]Bal Sheet - Standardized!R67C37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7" s="3"/>
      </tp>
      <tp>
        <v>8.9124999999999996</v>
        <stp/>
        <stp>##V3_BDHV12</stp>
        <stp>AMZN US Equity</stp>
        <stp>TCE_RATIO</stp>
        <stp>FQ2 2007</stp>
        <stp>FQ2 2007</stp>
        <stp>[FA1_j2ahgkxc.xlsx]Bal Sheet - Standardized!R67C36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7" s="3"/>
      </tp>
      <tp>
        <v>-14.011200000000001</v>
        <stp/>
        <stp>##V3_BDHV12</stp>
        <stp>AMZN US Equity</stp>
        <stp>TCE_RATIO</stp>
        <stp>FQ1 2005</stp>
        <stp>FQ1 2005</stp>
        <stp>[FA1_j2ahgkxc.xlsx]Bal Sheet - Standardized!R67C27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7" s="3"/>
      </tp>
      <tp>
        <v>0.34</v>
        <stp/>
        <stp>##V3_BDHV12</stp>
        <stp>AMZN US Equity</stp>
        <stp>IS_DIL_EPS_BEF_XO</stp>
        <stp>FQ1 2008</stp>
        <stp>FQ1 2008</stp>
        <stp>[FA1_j2ahgkxc.xlsx]Per Share!R18C39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8" s="5"/>
      </tp>
      <tp>
        <v>0.19</v>
        <stp/>
        <stp>##V3_BDHV12</stp>
        <stp>AMZN US Equity</stp>
        <stp>IS_DIL_EPS_BEF_XO</stp>
        <stp>FQ2 2007</stp>
        <stp>FQ2 2007</stp>
        <stp>[FA1_j2ahgkxc.xlsx]Per Share!R18C36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8" s="5"/>
      </tp>
      <tp>
        <v>0.13</v>
        <stp/>
        <stp>##V3_BDHV12</stp>
        <stp>AMZN US Equity</stp>
        <stp>IS_DIL_EPS_BEF_XO</stp>
        <stp>FQ3 2004</stp>
        <stp>FQ3 2004</stp>
        <stp>[FA1_j2ahgkxc.xlsx]Per Share!R18C25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8" s="5"/>
      </tp>
      <tp>
        <v>0.17</v>
        <stp/>
        <stp>##V3_BDHV12</stp>
        <stp>AMZN US Equity</stp>
        <stp>IS_DIL_EPS_BEF_XO</stp>
        <stp>FQ4 2003</stp>
        <stp>FQ4 2003</stp>
        <stp>[FA1_j2ahgkxc.xlsx]Per Share!R18C22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8" s="5"/>
      </tp>
      <tp>
        <v>-10.121</v>
        <stp/>
        <stp>##V3_BDHV12</stp>
        <stp>AMZN US Equity</stp>
        <stp>NI_INCLUDING_MINORITY_INT_RATIO</stp>
        <stp>FQ1 2003</stp>
        <stp>FQ1 2003</stp>
        <stp>[FA1_j2ahgkxc.xlsx]Income - Adjusted!R24C19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4" s="2"/>
      </tp>
      <tp>
        <v>2.6509999999999998</v>
        <stp/>
        <stp>##V3_BDHV12</stp>
        <stp>AMZN US Equity</stp>
        <stp>NI_INCLUDING_MINORITY_INT_RATIO</stp>
        <stp>FQ4 2002</stp>
        <stp>FQ4 2002</stp>
        <stp>[FA1_j2ahgkxc.xlsx]Income - Adjusted!R24C18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4" s="2"/>
      </tp>
      <tp>
        <v>225</v>
        <stp/>
        <stp>##V3_BDHV12</stp>
        <stp>AMZN US Equity</stp>
        <stp>NI_INCLUDING_MINORITY_INT_RATIO</stp>
        <stp>FQ4 2008</stp>
        <stp>FQ4 2008</stp>
        <stp>[FA1_j2ahgkxc.xlsx]Income - Adjusted!R24C42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4" s="2"/>
      </tp>
      <tp t="s">
        <v>—</v>
        <stp/>
        <stp>##V3_BDHV12</stp>
        <stp>AMZN US Equity</stp>
        <stp>IS_SELLING_EXPENSES</stp>
        <stp>FQ2 2001</stp>
        <stp>FQ2 2001</stp>
        <stp>[FA1_j2ahgkxc.xlsx]Income - Adjusted!R11C12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2"/>
      </tp>
      <tp t="s">
        <v>—</v>
        <stp/>
        <stp>##V3_BDHV12</stp>
        <stp>AMZN US Equity</stp>
        <stp>IS_SELLING_EXPENSES</stp>
        <stp>FQ2 2003</stp>
        <stp>FQ2 2003</stp>
        <stp>[FA1_j2ahgkxc.xlsx]Income - Adjusted!R11C20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1" s="2"/>
      </tp>
      <tp>
        <v>0</v>
        <stp/>
        <stp>##V3_BDHV12</stp>
        <stp>AMZN US Equity</stp>
        <stp>MIN_NONCONTROL_INTEREST_CREDITS</stp>
        <stp>FQ4 2001</stp>
        <stp>FQ4 2001</stp>
        <stp>[FA1_j2ahgkxc.xlsx]Income - Adjusted!R25C14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5" s="2"/>
      </tp>
      <tp>
        <v>0</v>
        <stp/>
        <stp>##V3_BDHV12</stp>
        <stp>AMZN US Equity</stp>
        <stp>MIN_NONCONTROL_INTEREST_CREDITS</stp>
        <stp>FQ4 2005</stp>
        <stp>FQ4 2005</stp>
        <stp>[FA1_j2ahgkxc.xlsx]Income - Adjusted!R25C30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5" s="2"/>
      </tp>
      <tp>
        <v>0</v>
        <stp/>
        <stp>##V3_BDHV12</stp>
        <stp>AMZN US Equity</stp>
        <stp>MIN_NONCONTROL_INTEREST_CREDITS</stp>
        <stp>FQ3 2006</stp>
        <stp>FQ3 2006</stp>
        <stp>[FA1_j2ahgkxc.xlsx]Income - Adjusted!R25C33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5" s="2"/>
      </tp>
      <tp>
        <v>0</v>
        <stp/>
        <stp>##V3_BDHV12</stp>
        <stp>AMZN US Equity</stp>
        <stp>MIN_NONCONTROL_INTEREST_CREDITS</stp>
        <stp>FQ3 2002</stp>
        <stp>FQ3 2002</stp>
        <stp>[FA1_j2ahgkxc.xlsx]Income - Adjusted!R25C17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5" s="2"/>
      </tp>
      <tp>
        <v>207</v>
        <stp/>
        <stp>##V3_BDHV12</stp>
        <stp>AMZN US Equity</stp>
        <stp>EARN_FOR_COMMON</stp>
        <stp>FQ4 2007</stp>
        <stp>FQ4 2007</stp>
        <stp>[FA1_j2ahgkxc.xlsx]Income - Adjusted!R29C38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9" s="2"/>
      </tp>
      <tp>
        <v>905.68499999999995</v>
        <stp/>
        <stp>##V3_BDHV12</stp>
        <stp>AMZN US Equity</stp>
        <stp>C&amp;CE_AND_STI_DETAILED</stp>
        <stp>FQ3 1999</stp>
        <stp>FQ3 1999</stp>
        <stp>[FA1_j2ahgkxc.xlsx]Bal Sheet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706.18799999999999</v>
        <stp/>
        <stp>##V3_BDHV12</stp>
        <stp>AMZN US Equity</stp>
        <stp>C&amp;CE_AND_STI_DETAILED</stp>
        <stp>FQ4 1999</stp>
        <stp>FQ4 1999</stp>
        <stp>[FA1_j2ahgkxc.xlsx]Bal Sheet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1442.9649999999999</v>
        <stp/>
        <stp>##V3_BDHV12</stp>
        <stp>AMZN US Equity</stp>
        <stp>C&amp;CE_AND_STI_DETAILED</stp>
        <stp>FQ1 1999</stp>
        <stp>FQ1 1999</stp>
        <stp>[FA1_j2ahgkxc.xlsx]Bal Sheet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77</v>
        <stp/>
        <stp>##V3_BDHV12</stp>
        <stp>AMZN US Equity</stp>
        <stp>PX_OPEN</stp>
        <stp>FQ4 1999</stp>
        <stp>FQ4 1999</stp>
        <stp>[FA1_j2ahgkxc.xlsx]Stock Value!R8C6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6"/>
      </tp>
      <tp>
        <v>1144.2370000000001</v>
        <stp/>
        <stp>##V3_BDHV12</stp>
        <stp>AMZN US Equity</stp>
        <stp>C&amp;CE_AND_STI_DETAILED</stp>
        <stp>FQ2 1999</stp>
        <stp>FQ2 1999</stp>
        <stp>[FA1_j2ahgkxc.xlsx]Bal Sheet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-0.35</v>
        <stp/>
        <stp>##V3_BDHV12</stp>
        <stp>AMZN US Equity</stp>
        <stp>IS_DIL_EPS_CONT_OPS</stp>
        <stp>FQ1 2000</stp>
        <stp>FQ1 2000</stp>
        <stp>[FA1_j2ahgkxc.xlsx]Income - Adjusted!R42C8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2" s="2"/>
      </tp>
      <tp>
        <v>17000</v>
        <stp/>
        <stp>##V3_BDHV12</stp>
        <stp>AMZN US Equity</stp>
        <stp>NUM_OF_EMPLOYEES</stp>
        <stp>FQ4 2007</stp>
        <stp>FQ4 2007</stp>
        <stp>[FA1_j2ahgkxc.xlsx]Bal Sheet - Standardized!R70C38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0" s="3"/>
      </tp>
      <tp>
        <v>-0.68</v>
        <stp/>
        <stp>##V3_BDHV12</stp>
        <stp>AMZN US Equity</stp>
        <stp>IS_EPS</stp>
        <stp>FQ3 2000</stp>
        <stp>FQ3 2000</stp>
        <stp>[FA1_j2ahgkxc.xlsx]Income - Adjusted!R35C9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5" s="2"/>
      </tp>
      <tp>
        <v>-0.9</v>
        <stp/>
        <stp>##V3_BDHV12</stp>
        <stp>AMZN US Equity</stp>
        <stp>IS_EPS</stp>
        <stp>FQ1 2000</stp>
        <stp>FQ1 2000</stp>
        <stp>[FA1_j2ahgkxc.xlsx]Income - Adjusted!R35C8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5" s="2"/>
      </tp>
      <tp>
        <v>0.52</v>
        <stp/>
        <stp>##V3_BDHV12</stp>
        <stp>AMZN US Equity</stp>
        <stp>IS_EARN_BEF_XO_ITEMS_PER_SH</stp>
        <stp>FQ4 2008</stp>
        <stp>FQ4 2008</stp>
        <stp>[FA1_j2ahgkxc.xlsx]Per Share!R15C42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5" s="5"/>
      </tp>
      <tp>
        <v>0.01</v>
        <stp/>
        <stp>##V3_BDHV12</stp>
        <stp>AMZN US Equity</stp>
        <stp>IS_EARN_BEF_XO_ITEMS_PER_SH</stp>
        <stp>FQ4 2002</stp>
        <stp>FQ4 2002</stp>
        <stp>[FA1_j2ahgkxc.xlsx]Per Share!R15C18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5" s="5"/>
      </tp>
      <tp>
        <v>-0.03</v>
        <stp/>
        <stp>##V3_BDHV12</stp>
        <stp>AMZN US Equity</stp>
        <stp>IS_EARN_BEF_XO_ITEMS_PER_SH</stp>
        <stp>FQ1 2003</stp>
        <stp>FQ1 2003</stp>
        <stp>[FA1_j2ahgkxc.xlsx]Per Share!R15C19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5" s="5"/>
      </tp>
      <tp t="s">
        <v>—</v>
        <stp/>
        <stp>##V3_BDHV12</stp>
        <stp>AMZN US Equity</stp>
        <stp>NUM_OF_EMPLOYEES</stp>
        <stp>FQ1 2003</stp>
        <stp>FQ1 2003</stp>
        <stp>[FA1_j2ahgkxc.xlsx]Bal Sheet - Standardized!R70C19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0" s="3"/>
      </tp>
      <tp>
        <v>86.022999999999996</v>
        <stp/>
        <stp>##V3_BDHV12</stp>
        <stp>AMZN US Equity</stp>
        <stp>CF_ACT_CASH_PAID_FOR_INT_DEBT</stp>
        <stp>FQ1 2004</stp>
        <stp>FQ1 2004</stp>
        <stp>[FA1_j2ahgkxc.xlsx]Cash Flow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4"/>
      </tp>
      <tp>
        <v>-22.523900000000001</v>
        <stp/>
        <stp>##V3_BDHV12</stp>
        <stp>AMZN US Equity</stp>
        <stp>CHG_PCT_PERIOD</stp>
        <stp>FQ1 2006</stp>
        <stp>FQ1 2006</stp>
        <stp>[FA1_j2ahgkxc.xlsx]Stock Value!R7C31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6"/>
      </tp>
      <tp>
        <v>-34.265099999999997</v>
        <stp/>
        <stp>##V3_BDHV12</stp>
        <stp>AMZN US Equity</stp>
        <stp>CHG_PCT_PERIOD</stp>
        <stp>FQ1 2001</stp>
        <stp>FQ1 2001</stp>
        <stp>[FA1_j2ahgkxc.xlsx]Stock Value!R7C11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6"/>
      </tp>
      <tp>
        <v>0.56599999999999995</v>
        <stp/>
        <stp>##V3_BDHV12</stp>
        <stp>AMZN US Equity</stp>
        <stp>CF_ACT_CASH_PAID_FOR_INT_DEBT</stp>
        <stp>FQ2 2002</stp>
        <stp>FQ2 2002</stp>
        <stp>[FA1_j2ahgkxc.xlsx]Cash Flow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4"/>
      </tp>
      <tp>
        <v>33.342500000000001</v>
        <stp/>
        <stp>##V3_BDHV12</stp>
        <stp>AMZN US Equity</stp>
        <stp>CHG_PCT_PERIOD</stp>
        <stp>FQ3 2003</stp>
        <stp>FQ3 2003</stp>
        <stp>[FA1_j2ahgkxc.xlsx]Stock Value!R7C21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6"/>
      </tp>
      <tp>
        <v>-0.77729999999999999</v>
        <stp/>
        <stp>##V3_BDHV12</stp>
        <stp>AMZN US Equity</stp>
        <stp>CHG_PCT_PERIOD</stp>
        <stp>FQ3 2008</stp>
        <stp>FQ3 2008</stp>
        <stp>[FA1_j2ahgkxc.xlsx]Stock Value!R7C41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6"/>
      </tp>
      <tp>
        <v>84</v>
        <stp/>
        <stp>##V3_BDHV12</stp>
        <stp>AMZN US Equity</stp>
        <stp>CF_ACT_CASH_PAID_FOR_INT_DEBT</stp>
        <stp>FQ1 2005</stp>
        <stp>FQ1 2005</stp>
        <stp>[FA1_j2ahgkxc.xlsx]Cash Flow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4"/>
      </tp>
      <tp>
        <v>1.198</v>
        <stp/>
        <stp>##V3_BDHV12</stp>
        <stp>AMZN US Equity</stp>
        <stp>CF_ACT_CASH_PAID_FOR_INT_DEBT</stp>
        <stp>FQ2 2001</stp>
        <stp>FQ2 2001</stp>
        <stp>[FA1_j2ahgkxc.xlsx]Cash Flow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4"/>
      </tp>
      <tp>
        <v>1.1000000000000001</v>
        <stp/>
        <stp>##V3_BDHV12</stp>
        <stp>AMZN US Equity</stp>
        <stp>ST_CAPITAL_LEASE_OBLIGATIONS</stp>
        <stp>FQ1 2005</stp>
        <stp>FQ1 2005</stp>
        <stp>[FA1_j2ahgkxc.xlsx]Bal Sheet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3"/>
      </tp>
      <tp t="s">
        <v>—</v>
        <stp/>
        <stp>##V3_BDHV12</stp>
        <stp>AMZN US Equity</stp>
        <stp>ST_CAPITAL_LEASE_OBLIGATIONS</stp>
        <stp>FQ2 2001</stp>
        <stp>FQ2 2001</stp>
        <stp>[FA1_j2ahgkxc.xlsx]Bal Sheet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3"/>
      </tp>
      <tp t="s">
        <v>—</v>
        <stp/>
        <stp>##V3_BDHV12</stp>
        <stp>AMZN US Equity</stp>
        <stp>ST_CAPITAL_LEASE_OBLIGATIONS</stp>
        <stp>FQ2 2002</stp>
        <stp>FQ2 2002</stp>
        <stp>[FA1_j2ahgkxc.xlsx]Bal Sheet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3"/>
      </tp>
      <tp t="s">
        <v>—</v>
        <stp/>
        <stp>##V3_BDHV12</stp>
        <stp>AMZN US Equity</stp>
        <stp>ST_CAPITAL_LEASE_OBLIGATIONS</stp>
        <stp>FQ1 2004</stp>
        <stp>FQ1 2004</stp>
        <stp>[FA1_j2ahgkxc.xlsx]Bal Sheet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3"/>
      </tp>
      <tp>
        <v>-20.763000000000002</v>
        <stp/>
        <stp>##V3_BDHV12</stp>
        <stp>AMZN US Equity</stp>
        <stp>NET_CHG_IN_LT_INVEST_DETAILED</stp>
        <stp>FQ4 2002</stp>
        <stp>FQ4 2002</stp>
        <stp>[FA1_j2ahgkxc.xlsx]Cash Flow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4"/>
      </tp>
      <tp>
        <v>0.7</v>
        <stp/>
        <stp>##V3_BDHV12</stp>
        <stp>AMZN US Equity</stp>
        <stp>LT_CAPITAL_LEASE_OBLIGATIONS</stp>
        <stp>FQ1 2005</stp>
        <stp>FQ1 2005</stp>
        <stp>[FA1_j2ahgkxc.xlsx]Bal Sheet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3"/>
      </tp>
      <tp t="s">
        <v>—</v>
        <stp/>
        <stp>##V3_BDHV12</stp>
        <stp>AMZN US Equity</stp>
        <stp>LT_CAPITAL_LEASE_OBLIGATIONS</stp>
        <stp>FQ2 2001</stp>
        <stp>FQ2 2001</stp>
        <stp>[FA1_j2ahgkxc.xlsx]Bal Sheet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3"/>
      </tp>
      <tp t="s">
        <v>—</v>
        <stp/>
        <stp>##V3_BDHV12</stp>
        <stp>AMZN US Equity</stp>
        <stp>LT_CAPITAL_LEASE_OBLIGATIONS</stp>
        <stp>FQ1 2004</stp>
        <stp>FQ1 2004</stp>
        <stp>[FA1_j2ahgkxc.xlsx]Bal Sheet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3"/>
      </tp>
      <tp t="s">
        <v>—</v>
        <stp/>
        <stp>##V3_BDHV12</stp>
        <stp>AMZN US Equity</stp>
        <stp>LT_CAPITAL_LEASE_OBLIGATIONS</stp>
        <stp>FQ2 2002</stp>
        <stp>FQ2 2002</stp>
        <stp>[FA1_j2ahgkxc.xlsx]Bal Sheet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3"/>
      </tp>
      <tp>
        <v>6485</v>
        <stp/>
        <stp>##V3_BDHV12</stp>
        <stp>AMZN US Equity</stp>
        <stp>BS_TOT_ASSET</stp>
        <stp>FQ4 2007</stp>
        <stp>FQ4 2007</stp>
        <stp>[FA1_j2ahgkxc.xlsx]Bal Sheet - Standardized!R29C38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9" s="3"/>
      </tp>
      <tp>
        <v>6566</v>
        <stp/>
        <stp>##V3_BDHV12</stp>
        <stp>AMZN US Equity</stp>
        <stp>BS_TOT_ASSET</stp>
        <stp>FQ3 2008</stp>
        <stp>FQ3 2008</stp>
        <stp>[FA1_j2ahgkxc.xlsx]Bal Sheet - Standardized!R29C41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9" s="3"/>
      </tp>
      <tp>
        <v>-64.903999999999996</v>
        <stp/>
        <stp>##V3_BDHV12</stp>
        <stp>AMZN US Equity</stp>
        <stp>NET_CHG_IN_LT_INVEST_DETAILED</stp>
        <stp>FQ4 2000</stp>
        <stp>FQ4 2000</stp>
        <stp>[FA1_j2ahgkxc.xlsx]Cash Flow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4"/>
      </tp>
      <tp>
        <v>4363</v>
        <stp/>
        <stp>##V3_BDHV12</stp>
        <stp>AMZN US Equity</stp>
        <stp>BS_TOT_ASSET</stp>
        <stp>FQ4 2006</stp>
        <stp>FQ4 2006</stp>
        <stp>[FA1_j2ahgkxc.xlsx]Bal Sheet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3"/>
      </tp>
      <tp>
        <v>3696</v>
        <stp/>
        <stp>##V3_BDHV12</stp>
        <stp>AMZN US Equity</stp>
        <stp>BS_TOT_ASSET</stp>
        <stp>FQ4 2005</stp>
        <stp>FQ4 2005</stp>
        <stp>[FA1_j2ahgkxc.xlsx]Bal Sheet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3"/>
      </tp>
      <tp>
        <v>-218.898</v>
        <stp/>
        <stp>##V3_BDHV12</stp>
        <stp>AMZN US Equity</stp>
        <stp>NET_CHG_IN_LT_INVEST_DETAILED</stp>
        <stp>FQ4 2001</stp>
        <stp>FQ4 2001</stp>
        <stp>[FA1_j2ahgkxc.xlsx]Cash Flow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4"/>
      </tp>
      <tp t="s">
        <v>—</v>
        <stp/>
        <stp>##V3_BDHV12</stp>
        <stp>AMZN US Equity</stp>
        <stp>OTHER_ADJUSTMENTS</stp>
        <stp>FQ1 1999</stp>
        <stp>FQ1 1999</stp>
        <stp>[FA1_j2ahgkxc.xlsx]Income - Adjusted!R28C4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2"/>
      </tp>
      <tp>
        <v>-0.36959999999999998</v>
        <stp/>
        <stp>##V3_BDHV12</stp>
        <stp>AMZN US Equity</stp>
        <stp>TANG_BOOK_VAL_PER_SH</stp>
        <stp>FQ3 2005</stp>
        <stp>FQ3 2005</stp>
        <stp>[FA1_j2ahgkxc.xlsx]Per Share!R27C29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7" s="5"/>
      </tp>
      <tp>
        <v>414</v>
        <stp/>
        <stp>##V3_BDHV12</stp>
        <stp>AMZN US Equity</stp>
        <stp>BS_SH_OUT</stp>
        <stp>FQ3 2005</stp>
        <stp>FQ3 2005</stp>
        <stp>[FA1_j2ahgkxc.xlsx]Bal Sheet - Standardized!R59C29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9" s="3"/>
      </tp>
      <tp>
        <v>412</v>
        <stp/>
        <stp>##V3_BDHV12</stp>
        <stp>AMZN US Equity</stp>
        <stp>BS_SH_OUT</stp>
        <stp>FQ2 2005</stp>
        <stp>FQ2 2005</stp>
        <stp>[FA1_j2ahgkxc.xlsx]Bal Sheet - Standardized!R59C28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9" s="3"/>
      </tp>
      <tp>
        <v>-51.579000000000001</v>
        <stp/>
        <stp>##V3_BDHV12</stp>
        <stp>AMZN US Equity</stp>
        <stp>IS_OPER_INC</stp>
        <stp>FQ1 1999</stp>
        <stp>FQ1 1999</stp>
        <stp>[FA1_j2ahgkxc.xlsx]Income - Adjusted!R12C4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>
        <v>-165.33</v>
        <stp/>
        <stp>##V3_BDHV12</stp>
        <stp>AMZN US Equity</stp>
        <stp>IS_OPER_INC</stp>
        <stp>FQ3 1999</stp>
        <stp>FQ3 1999</stp>
        <stp>[FA1_j2ahgkxc.xlsx]Income - Adjusted!R12C6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-47.277900000000002</v>
        <stp/>
        <stp>##V3_BDHV12</stp>
        <stp>AMZN US Equity</stp>
        <stp>TCE_RATIO</stp>
        <stp>FQ2 2004</stp>
        <stp>FQ2 2004</stp>
        <stp>[FA1_j2ahgkxc.xlsx]Bal Sheet - Standardized!R67C24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7" s="3"/>
      </tp>
      <tp>
        <v>-43.562899999999999</v>
        <stp/>
        <stp>##V3_BDHV12</stp>
        <stp>AMZN US Equity</stp>
        <stp>TCE_RATIO</stp>
        <stp>FQ3 2004</stp>
        <stp>FQ3 2004</stp>
        <stp>[FA1_j2ahgkxc.xlsx]Bal Sheet - Standardized!R67C25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7" s="3"/>
      </tp>
      <tp>
        <v>0</v>
        <stp/>
        <stp>##V3_BDHV12</stp>
        <stp>AMZN US Equity</stp>
        <stp>OTHER_ADJUSTMENTS</stp>
        <stp>FQ1 2000</stp>
        <stp>FQ1 2000</stp>
        <stp>[FA1_j2ahgkxc.xlsx]Income - Adjusted!R28C8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2"/>
      </tp>
      <tp>
        <v>-26.600999999999999</v>
        <stp/>
        <stp>##V3_BDHV12</stp>
        <stp>AMZN US Equity</stp>
        <stp>CHG_IN_FXD_&amp;_INTANG_AST_DETAILED</stp>
        <stp>FQ1 2000</stp>
        <stp>FQ1 2000</stp>
        <stp>[FA1_j2ahgkxc.xlsx]Cash Flow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4"/>
      </tp>
      <tp>
        <v>-28.878</v>
        <stp/>
        <stp>##V3_BDHV12</stp>
        <stp>AMZN US Equity</stp>
        <stp>CHG_IN_FXD_&amp;_INTANG_AST_DETAILED</stp>
        <stp>FQ2 2000</stp>
        <stp>FQ2 2000</stp>
        <stp>[FA1_j2ahgkxc.xlsx]Cash Flow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4"/>
      </tp>
      <tp>
        <v>-41.948</v>
        <stp/>
        <stp>##V3_BDHV12</stp>
        <stp>AMZN US Equity</stp>
        <stp>CHG_IN_FXD_&amp;_INTANG_AST_DETAILED</stp>
        <stp>FQ3 2000</stp>
        <stp>FQ3 2000</stp>
        <stp>[FA1_j2ahgkxc.xlsx]Cash Flow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4"/>
      </tp>
      <tp>
        <v>0.12</v>
        <stp/>
        <stp>##V3_BDHV12</stp>
        <stp>AMZN US Equity</stp>
        <stp>IS_DIL_EPS_BEF_XO</stp>
        <stp>FQ1 2005</stp>
        <stp>FQ1 2005</stp>
        <stp>[FA1_j2ahgkxc.xlsx]Per Share!R18C27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8" s="5"/>
      </tp>
      <tp>
        <v>0.26</v>
        <stp/>
        <stp>##V3_BDHV12</stp>
        <stp>AMZN US Equity</stp>
        <stp>IS_DIL_EPS_BEF_XO</stp>
        <stp>FQ1 2007</stp>
        <stp>FQ1 2007</stp>
        <stp>[FA1_j2ahgkxc.xlsx]Per Share!R18C35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8" s="5"/>
      </tp>
      <tp>
        <v>-0.46</v>
        <stp/>
        <stp>##V3_BDHV12</stp>
        <stp>AMZN US Equity</stp>
        <stp>IS_DIL_EPS_BEF_XO</stp>
        <stp>FQ3 2001</stp>
        <stp>FQ3 2001</stp>
        <stp>[FA1_j2ahgkxc.xlsx]Per Share!R18C13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8" s="5"/>
      </tp>
      <tp>
        <v>0.04</v>
        <stp/>
        <stp>##V3_BDHV12</stp>
        <stp>AMZN US Equity</stp>
        <stp>IS_DIL_EPS_BEF_XO</stp>
        <stp>FQ3 2003</stp>
        <stp>FQ3 2003</stp>
        <stp>[FA1_j2ahgkxc.xlsx]Per Share!R18C21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8" s="5"/>
      </tp>
      <tp>
        <v>0.82</v>
        <stp/>
        <stp>##V3_BDHV12</stp>
        <stp>AMZN US Equity</stp>
        <stp>IS_DIL_EPS_BEF_XO</stp>
        <stp>FQ4 2004</stp>
        <stp>FQ4 2004</stp>
        <stp>[FA1_j2ahgkxc.xlsx]Per Share!R18C26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8" s="5"/>
      </tp>
      <tp>
        <v>0.23</v>
        <stp/>
        <stp>##V3_BDHV12</stp>
        <stp>AMZN US Equity</stp>
        <stp>IS_DIL_EPS_BEF_XO</stp>
        <stp>FQ4 2006</stp>
        <stp>FQ4 2006</stp>
        <stp>[FA1_j2ahgkxc.xlsx]Per Share!R18C34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8" s="5"/>
      </tp>
      <tp>
        <v>118</v>
        <stp/>
        <stp>##V3_BDHV12</stp>
        <stp>AMZN US Equity</stp>
        <stp>NI_INCLUDING_MINORITY_INT_RATIO</stp>
        <stp>FQ3 2008</stp>
        <stp>FQ3 2008</stp>
        <stp>[FA1_j2ahgkxc.xlsx]Income - Adjusted!R24C41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4" s="2"/>
      </tp>
      <tp>
        <v>13.7</v>
        <stp/>
        <stp>##V3_BDHV12</stp>
        <stp>AMZN US Equity</stp>
        <stp>BS_OPTIONS_OUTSTANDING</stp>
        <stp>FQ3 2005</stp>
        <stp>FQ3 2005</stp>
        <stp>[FA1_j2ahgkxc.xlsx]Bal Sheet - Standardized!R64C29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4" s="3"/>
      </tp>
      <tp>
        <v>16</v>
        <stp/>
        <stp>##V3_BDHV12</stp>
        <stp>AMZN US Equity</stp>
        <stp>BS_OPTIONS_OUTSTANDING</stp>
        <stp>FQ2 2005</stp>
        <stp>FQ2 2005</stp>
        <stp>[FA1_j2ahgkxc.xlsx]Bal Sheet - Standardized!R64C28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4" s="3"/>
      </tp>
      <tp t="s">
        <v>—</v>
        <stp/>
        <stp>##V3_BDHV12</stp>
        <stp>AMZN US Equity</stp>
        <stp>IS_SELLING_EXPENSES</stp>
        <stp>FQ4 2000</stp>
        <stp>FQ4 2000</stp>
        <stp>[FA1_j2ahgkxc.xlsx]Income - Adjusted!R11C10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2"/>
      </tp>
      <tp t="s">
        <v>—</v>
        <stp/>
        <stp>##V3_BDHV12</stp>
        <stp>AMZN US Equity</stp>
        <stp>IS_SELLING_EXPENSES</stp>
        <stp>FQ1 2001</stp>
        <stp>FQ1 2001</stp>
        <stp>[FA1_j2ahgkxc.xlsx]Income - Adjusted!R11C11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2"/>
      </tp>
      <tp t="s">
        <v>—</v>
        <stp/>
        <stp>##V3_BDHV12</stp>
        <stp>AMZN US Equity</stp>
        <stp>IS_SELLING_EXPENSES</stp>
        <stp>FQ2 2004</stp>
        <stp>FQ2 2004</stp>
        <stp>[FA1_j2ahgkxc.xlsx]Income - Adjusted!R11C24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1" s="2"/>
      </tp>
      <tp t="s">
        <v>—</v>
        <stp/>
        <stp>##V3_BDHV12</stp>
        <stp>AMZN US Equity</stp>
        <stp>IS_SELLING_EXPENSES</stp>
        <stp>FQ3 2007</stp>
        <stp>FQ3 2007</stp>
        <stp>[FA1_j2ahgkxc.xlsx]Income - Adjusted!R11C37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1" s="2"/>
      </tp>
      <tp>
        <v>30</v>
        <stp/>
        <stp>##V3_BDHV12</stp>
        <stp>AMZN US Equity</stp>
        <stp>EARN_FOR_COMMON</stp>
        <stp>FQ3 2005</stp>
        <stp>FQ3 2005</stp>
        <stp>[FA1_j2ahgkxc.xlsx]Income - Adjusted!R29C29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9" s="2"/>
      </tp>
      <tp>
        <v>62.625</v>
        <stp/>
        <stp>##V3_BDHV12</stp>
        <stp>AMZN US Equity</stp>
        <stp>PX_OPEN</stp>
        <stp>FQ3 1999</stp>
        <stp>FQ3 1999</stp>
        <stp>[FA1_j2ahgkxc.xlsx]Stock Value!R8C5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6"/>
      </tp>
      <tp>
        <v>-0.25</v>
        <stp/>
        <stp>##V3_BDHV12</stp>
        <stp>AMZN US Equity</stp>
        <stp>IS_DIL_EPS_CONT_OPS</stp>
        <stp>FQ3 2000</stp>
        <stp>FQ3 2000</stp>
        <stp>[FA1_j2ahgkxc.xlsx]Income - Adjusted!R42C9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2" s="2"/>
      </tp>
      <tp>
        <v>0.28000000000000003</v>
        <stp/>
        <stp>##V3_BDHV12</stp>
        <stp>AMZN US Equity</stp>
        <stp>IS_EARN_BEF_XO_ITEMS_PER_SH</stp>
        <stp>FQ3 2008</stp>
        <stp>FQ3 2008</stp>
        <stp>[FA1_j2ahgkxc.xlsx]Per Share!R15C41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5" s="5"/>
      </tp>
      <tp>
        <v>0</v>
        <stp/>
        <stp>##V3_BDHV12</stp>
        <stp>AMZN US Equity</stp>
        <stp>BS_NUM_OF_TSY_SH</stp>
        <stp>FQ4 1999</stp>
        <stp>FQ4 1999</stp>
        <stp>[FA1_j2ahgkxc.xlsx]Bal Sheet - Standardized!R60C7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0" s="3"/>
      </tp>
      <tp t="s">
        <v>—</v>
        <stp/>
        <stp>##V3_BDHV12</stp>
        <stp>AMZN US Equity</stp>
        <stp>ST_CAPITAL_LEASE_OBLIGATIONS</stp>
        <stp>FQ1 2003</stp>
        <stp>FQ1 2003</stp>
        <stp>[FA1_j2ahgkxc.xlsx]Bal Sheet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3"/>
      </tp>
      <tp>
        <v>22</v>
        <stp/>
        <stp>##V3_BDHV12</stp>
        <stp>AMZN US Equity</stp>
        <stp>CF_ACT_CASH_PAID_FOR_INT_DEBT</stp>
        <stp>FQ3 2006</stp>
        <stp>FQ3 2006</stp>
        <stp>[FA1_j2ahgkxc.xlsx]Cash Flow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4"/>
      </tp>
      <tp>
        <v>80.483000000000004</v>
        <stp/>
        <stp>##V3_BDHV12</stp>
        <stp>AMZN US Equity</stp>
        <stp>CF_ACT_CASH_PAID_FOR_INT_DEBT</stp>
        <stp>FQ1 2002</stp>
        <stp>FQ1 2002</stp>
        <stp>[FA1_j2ahgkxc.xlsx]Cash Flow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4"/>
      </tp>
      <tp>
        <v>5.8856000000000002</v>
        <stp/>
        <stp>##V3_BDHV12</stp>
        <stp>AMZN US Equity</stp>
        <stp>CHG_PCT_PERIOD</stp>
        <stp>FQ2 2006</stp>
        <stp>FQ2 2006</stp>
        <stp>[FA1_j2ahgkxc.xlsx]Stock Value!R7C32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6"/>
      </tp>
      <tp>
        <v>1400</v>
        <stp/>
        <stp>##V3_BDHV12</stp>
        <stp>AMZN US Equity</stp>
        <stp>NON_CUR_LIAB</stp>
        <stp>FQ4 2006</stp>
        <stp>FQ4 2006</stp>
        <stp>[FA1_j2ahgkxc.xlsx]Bal Sheet - Standardized!R45C34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5" s="3"/>
      </tp>
      <tp>
        <v>38.3187</v>
        <stp/>
        <stp>##V3_BDHV12</stp>
        <stp>AMZN US Equity</stp>
        <stp>CHG_PCT_PERIOD</stp>
        <stp>FQ2 2001</stp>
        <stp>FQ2 2001</stp>
        <stp>[FA1_j2ahgkxc.xlsx]Stock Value!R7C12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6"/>
      </tp>
      <tp>
        <v>0.6</v>
        <stp/>
        <stp>##V3_BDHV12</stp>
        <stp>AMZN US Equity</stp>
        <stp>ST_CAPITAL_LEASE_OBLIGATIONS</stp>
        <stp>FQ2 2005</stp>
        <stp>FQ2 2005</stp>
        <stp>[FA1_j2ahgkxc.xlsx]Bal Sheet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3"/>
      </tp>
      <tp>
        <v>8.6516999999999999</v>
        <stp/>
        <stp>##V3_BDHV12</stp>
        <stp>AMZN US Equity</stp>
        <stp>CHG_PCT_PERIOD</stp>
        <stp>FQ4 2003</stp>
        <stp>FQ4 2003</stp>
        <stp>[FA1_j2ahgkxc.xlsx]Stock Value!R7C22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6"/>
      </tp>
      <tp>
        <v>22</v>
        <stp/>
        <stp>##V3_BDHV12</stp>
        <stp>AMZN US Equity</stp>
        <stp>CF_ACT_CASH_PAID_FOR_INT_DEBT</stp>
        <stp>FQ3 2007</stp>
        <stp>FQ3 2007</stp>
        <stp>[FA1_j2ahgkxc.xlsx]Cash Flow - Standardized!R42C37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4"/>
      </tp>
      <tp>
        <v>-29.521699999999999</v>
        <stp/>
        <stp>##V3_BDHV12</stp>
        <stp>AMZN US Equity</stp>
        <stp>CHG_PCT_PERIOD</stp>
        <stp>FQ4 2008</stp>
        <stp>FQ4 2008</stp>
        <stp>[FA1_j2ahgkxc.xlsx]Stock Value!R7C42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6"/>
      </tp>
      <tp>
        <v>72</v>
        <stp/>
        <stp>##V3_BDHV12</stp>
        <stp>AMZN US Equity</stp>
        <stp>ST_CAPITAL_LEASE_OBLIGATIONS</stp>
        <stp>FQ4 2008</stp>
        <stp>FQ4 2008</stp>
        <stp>[FA1_j2ahgkxc.xlsx]Bal Sheet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3"/>
      </tp>
      <tp>
        <v>4.4999999999999998E-2</v>
        <stp/>
        <stp>##V3_BDHV12</stp>
        <stp>AMZN US Equity</stp>
        <stp>CF_ACT_CASH_PAID_FOR_INT_DEBT</stp>
        <stp>FQ2 2004</stp>
        <stp>FQ2 2004</stp>
        <stp>[FA1_j2ahgkxc.xlsx]Cash Flow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4"/>
      </tp>
      <tp>
        <v>1521</v>
        <stp/>
        <stp>##V3_BDHV12</stp>
        <stp>AMZN US Equity</stp>
        <stp>NON_CUR_LIAB</stp>
        <stp>FQ4 2005</stp>
        <stp>FQ4 2005</stp>
        <stp>[FA1_j2ahgkxc.xlsx]Bal Sheet - Standardized!R45C30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5" s="3"/>
      </tp>
      <tp>
        <v>79.516999999999996</v>
        <stp/>
        <stp>##V3_BDHV12</stp>
        <stp>AMZN US Equity</stp>
        <stp>CF_ACT_CASH_PAID_FOR_INT_DEBT</stp>
        <stp>FQ1 2001</stp>
        <stp>FQ1 2001</stp>
        <stp>[FA1_j2ahgkxc.xlsx]Cash Flow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4"/>
      </tp>
      <tp>
        <v>2.601</v>
        <stp/>
        <stp>##V3_BDHV12</stp>
        <stp>AMZN US Equity</stp>
        <stp>CF_ACT_CASH_PAID_FOR_INT_DEBT</stp>
        <stp>FQ2 2003</stp>
        <stp>FQ2 2003</stp>
        <stp>[FA1_j2ahgkxc.xlsx]Cash Flow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4"/>
      </tp>
      <tp t="s">
        <v>—</v>
        <stp/>
        <stp>##V3_BDHV12</stp>
        <stp>AMZN US Equity</stp>
        <stp>ST_CAPITAL_LEASE_OBLIGATIONS</stp>
        <stp>FQ3 2007</stp>
        <stp>FQ3 2007</stp>
        <stp>[FA1_j2ahgkxc.xlsx]Bal Sheet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3"/>
      </tp>
      <tp>
        <v>0</v>
        <stp/>
        <stp>##V3_BDHV12</stp>
        <stp>AMZN US Equity</stp>
        <stp>CF_ACT_CASH_PAID_FOR_INT_DEBT</stp>
        <stp>FQ2 2005</stp>
        <stp>FQ2 2005</stp>
        <stp>[FA1_j2ahgkxc.xlsx]Cash Flow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4"/>
      </tp>
      <tp t="s">
        <v>—</v>
        <stp/>
        <stp>##V3_BDHV12</stp>
        <stp>AMZN US Equity</stp>
        <stp>ST_CAPITAL_LEASE_OBLIGATIONS</stp>
        <stp>FQ2 2004</stp>
        <stp>FQ2 2004</stp>
        <stp>[FA1_j2ahgkxc.xlsx]Bal Sheet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3"/>
      </tp>
      <tp>
        <v>3</v>
        <stp/>
        <stp>##V3_BDHV12</stp>
        <stp>AMZN US Equity</stp>
        <stp>CF_ACT_CASH_PAID_FOR_INT_DEBT</stp>
        <stp>FQ4 2008</stp>
        <stp>FQ4 2008</stp>
        <stp>[FA1_j2ahgkxc.xlsx]Cash Flow - Standardized!R42C42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4"/>
      </tp>
      <tp t="s">
        <v>—</v>
        <stp/>
        <stp>##V3_BDHV12</stp>
        <stp>AMZN US Equity</stp>
        <stp>ST_CAPITAL_LEASE_OBLIGATIONS</stp>
        <stp>FQ2 2003</stp>
        <stp>FQ2 2003</stp>
        <stp>[FA1_j2ahgkxc.xlsx]Bal Sheet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3"/>
      </tp>
      <tp t="s">
        <v>—</v>
        <stp/>
        <stp>##V3_BDHV12</stp>
        <stp>AMZN US Equity</stp>
        <stp>ST_CAPITAL_LEASE_OBLIGATIONS</stp>
        <stp>FQ1 2001</stp>
        <stp>FQ1 2001</stp>
        <stp>[FA1_j2ahgkxc.xlsx]Bal Sheet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3"/>
      </tp>
      <tp>
        <v>84.215000000000003</v>
        <stp/>
        <stp>##V3_BDHV12</stp>
        <stp>AMZN US Equity</stp>
        <stp>CF_ACT_CASH_PAID_FOR_INT_DEBT</stp>
        <stp>FQ1 2003</stp>
        <stp>FQ1 2003</stp>
        <stp>[FA1_j2ahgkxc.xlsx]Cash Flow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4"/>
      </tp>
      <tp t="s">
        <v>—</v>
        <stp/>
        <stp>##V3_BDHV12</stp>
        <stp>AMZN US Equity</stp>
        <stp>ST_CAPITAL_LEASE_OBLIGATIONS</stp>
        <stp>FQ1 2002</stp>
        <stp>FQ1 2002</stp>
        <stp>[FA1_j2ahgkxc.xlsx]Bal Sheet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3"/>
      </tp>
      <tp t="s">
        <v>—</v>
        <stp/>
        <stp>##V3_BDHV12</stp>
        <stp>AMZN US Equity</stp>
        <stp>ST_CAPITAL_LEASE_OBLIGATIONS</stp>
        <stp>FQ3 2006</stp>
        <stp>FQ3 2006</stp>
        <stp>[FA1_j2ahgkxc.xlsx]Bal Sheet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3"/>
      </tp>
      <tp>
        <v>895</v>
        <stp/>
        <stp>##V3_BDHV12</stp>
        <stp>AMZN US Equity</stp>
        <stp>NON_CUR_LIAB</stp>
        <stp>FQ3 2008</stp>
        <stp>FQ3 2008</stp>
        <stp>[FA1_j2ahgkxc.xlsx]Bal Sheet - Standardized!R45C41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5" s="3"/>
      </tp>
      <tp>
        <v>0.05</v>
        <stp/>
        <stp>##V3_BDHV12</stp>
        <stp>AMZN US Equity</stp>
        <stp>IS_DIL_EPS_CONT_OPS</stp>
        <stp>FQ3 2006</stp>
        <stp>FQ3 2006</stp>
        <stp>[FA1_j2ahgkxc.xlsx]Income - Adjusted!R42C33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2" s="2"/>
      </tp>
      <tp>
        <v>0</v>
        <stp/>
        <stp>##V3_BDHV12</stp>
        <stp>AMZN US Equity</stp>
        <stp>IS_DIL_EPS_CONT_OPS</stp>
        <stp>FQ3 2002</stp>
        <stp>FQ3 2002</stp>
        <stp>[FA1_j2ahgkxc.xlsx]Income - Adjusted!R42C17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2" s="2"/>
      </tp>
      <tp>
        <v>0.09</v>
        <stp/>
        <stp>##V3_BDHV12</stp>
        <stp>AMZN US Equity</stp>
        <stp>IS_DIL_EPS_CONT_OPS</stp>
        <stp>FQ4 2001</stp>
        <stp>FQ4 2001</stp>
        <stp>[FA1_j2ahgkxc.xlsx]Income - Adjusted!R42C14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2" s="2"/>
      </tp>
      <tp>
        <v>0.26</v>
        <stp/>
        <stp>##V3_BDHV12</stp>
        <stp>AMZN US Equity</stp>
        <stp>IS_DIL_EPS_CONT_OPS</stp>
        <stp>FQ4 2005</stp>
        <stp>FQ4 2005</stp>
        <stp>[FA1_j2ahgkxc.xlsx]Income - Adjusted!R42C30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2" s="2"/>
      </tp>
      <tp>
        <v>1574</v>
        <stp/>
        <stp>##V3_BDHV12</stp>
        <stp>AMZN US Equity</stp>
        <stp>NON_CUR_LIAB</stp>
        <stp>FQ4 2007</stp>
        <stp>FQ4 2007</stp>
        <stp>[FA1_j2ahgkxc.xlsx]Bal Sheet - Standardized!R45C38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5" s="3"/>
      </tp>
      <tp t="s">
        <v>—</v>
        <stp/>
        <stp>##V3_BDHV12</stp>
        <stp>AMZN US Equity</stp>
        <stp>LT_CAPITAL_LEASE_OBLIGATIONS</stp>
        <stp>FQ3 2007</stp>
        <stp>FQ3 2007</stp>
        <stp>[FA1_j2ahgkxc.xlsx]Bal Sheet - Standardized!R42C37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3"/>
      </tp>
      <tp t="s">
        <v>—</v>
        <stp/>
        <stp>##V3_BDHV12</stp>
        <stp>AMZN US Equity</stp>
        <stp>LT_CAPITAL_LEASE_OBLIGATIONS</stp>
        <stp>FQ2 2004</stp>
        <stp>FQ2 2004</stp>
        <stp>[FA1_j2ahgkxc.xlsx]Bal Sheet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3"/>
      </tp>
      <tp t="s">
        <v>—</v>
        <stp/>
        <stp>##V3_BDHV12</stp>
        <stp>AMZN US Equity</stp>
        <stp>LT_CAPITAL_LEASE_OBLIGATIONS</stp>
        <stp>FQ2 2003</stp>
        <stp>FQ2 2003</stp>
        <stp>[FA1_j2ahgkxc.xlsx]Bal Sheet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3"/>
      </tp>
      <tp t="s">
        <v>—</v>
        <stp/>
        <stp>##V3_BDHV12</stp>
        <stp>AMZN US Equity</stp>
        <stp>LT_CAPITAL_LEASE_OBLIGATIONS</stp>
        <stp>FQ1 2001</stp>
        <stp>FQ1 2001</stp>
        <stp>[FA1_j2ahgkxc.xlsx]Bal Sheet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3"/>
      </tp>
      <tp>
        <v>0</v>
        <stp/>
        <stp>##V3_BDHV12</stp>
        <stp>AMZN US Equity</stp>
        <stp>NET_CHG_IN_LT_INVEST_DETAILED</stp>
        <stp>FQ2 2008</stp>
        <stp>FQ2 2008</stp>
        <stp>[FA1_j2ahgkxc.xlsx]Cash Flow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4"/>
      </tp>
      <tp t="s">
        <v>—</v>
        <stp/>
        <stp>##V3_BDHV12</stp>
        <stp>AMZN US Equity</stp>
        <stp>LT_CAPITAL_LEASE_OBLIGATIONS</stp>
        <stp>FQ3 2006</stp>
        <stp>FQ3 2006</stp>
        <stp>[FA1_j2ahgkxc.xlsx]Bal Sheet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3"/>
      </tp>
      <tp t="s">
        <v>—</v>
        <stp/>
        <stp>##V3_BDHV12</stp>
        <stp>AMZN US Equity</stp>
        <stp>LT_CAPITAL_LEASE_OBLIGATIONS</stp>
        <stp>FQ1 2002</stp>
        <stp>FQ1 2002</stp>
        <stp>[FA1_j2ahgkxc.xlsx]Bal Sheet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3"/>
      </tp>
      <tp>
        <v>0</v>
        <stp/>
        <stp>##V3_BDHV12</stp>
        <stp>AMZN US Equity</stp>
        <stp>NET_CHG_IN_LT_INVEST_DETAILED</stp>
        <stp>FQ4 2004</stp>
        <stp>FQ4 2004</stp>
        <stp>[FA1_j2ahgkxc.xlsx]Cash Flow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4"/>
      </tp>
      <tp t="s">
        <v>—</v>
        <stp/>
        <stp>##V3_BDHV12</stp>
        <stp>AMZN US Equity</stp>
        <stp>LT_CAPITAL_LEASE_OBLIGATIONS</stp>
        <stp>FQ1 2003</stp>
        <stp>FQ1 2003</stp>
        <stp>[FA1_j2ahgkxc.xlsx]Bal Sheet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3"/>
      </tp>
      <tp>
        <v>0</v>
        <stp/>
        <stp>##V3_BDHV12</stp>
        <stp>AMZN US Equity</stp>
        <stp>NET_CHG_IN_LT_INVEST_DETAILED</stp>
        <stp>FQ4 2003</stp>
        <stp>FQ4 2003</stp>
        <stp>[FA1_j2ahgkxc.xlsx]Cash Flow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4"/>
      </tp>
      <tp>
        <v>0.6</v>
        <stp/>
        <stp>##V3_BDHV12</stp>
        <stp>AMZN US Equity</stp>
        <stp>LT_CAPITAL_LEASE_OBLIGATIONS</stp>
        <stp>FQ2 2005</stp>
        <stp>FQ2 2005</stp>
        <stp>[FA1_j2ahgkxc.xlsx]Bal Sheet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3"/>
      </tp>
      <tp>
        <v>124</v>
        <stp/>
        <stp>##V3_BDHV12</stp>
        <stp>AMZN US Equity</stp>
        <stp>LT_CAPITAL_LEASE_OBLIGATIONS</stp>
        <stp>FQ4 2008</stp>
        <stp>FQ4 2008</stp>
        <stp>[FA1_j2ahgkxc.xlsx]Bal Sheet - Standardized!R42C42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3"/>
      </tp>
      <tp t="s">
        <v>—</v>
        <stp/>
        <stp>##V3_BDHV12</stp>
        <stp>AMZN US Equity</stp>
        <stp>OTHER_ADJUSTMENTS</stp>
        <stp>FQ2 1999</stp>
        <stp>FQ2 1999</stp>
        <stp>[FA1_j2ahgkxc.xlsx]Income - Adjusted!R28C5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2"/>
      </tp>
      <tp>
        <v>2.2622</v>
        <stp/>
        <stp>##V3_BDHV12</stp>
        <stp>AMZN US Equity</stp>
        <stp>TANG_BOOK_VAL_PER_SH</stp>
        <stp>FQ4 2007</stp>
        <stp>FQ4 2007</stp>
        <stp>[FA1_j2ahgkxc.xlsx]Per Share!R27C38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7" s="5"/>
      </tp>
      <tp>
        <v>2.1554000000000002</v>
        <stp/>
        <stp>##V3_BDHV12</stp>
        <stp>AMZN US Equity</stp>
        <stp>TCE_RATIO</stp>
        <stp>FQ4 2005</stp>
        <stp>FQ4 2005</stp>
        <stp>[FA1_j2ahgkxc.xlsx]Bal Sheet - Standardized!R67C30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7" s="3"/>
      </tp>
      <tp>
        <v>-17.995999999999999</v>
        <stp/>
        <stp>##V3_BDHV12</stp>
        <stp>AMZN US Equity</stp>
        <stp>IS_OPER_INC</stp>
        <stp>FQ4 1998</stp>
        <stp>FQ4 1998</stp>
        <stp>[FA1_j2ahgkxc.xlsx]Income - Adjusted!R12C3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-86.543899999999994</v>
        <stp/>
        <stp>##V3_BDHV12</stp>
        <stp>AMZN US Equity</stp>
        <stp>TCE_RATIO</stp>
        <stp>FQ2 2003</stp>
        <stp>FQ2 2003</stp>
        <stp>[FA1_j2ahgkxc.xlsx]Bal Sheet - Standardized!R67C20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7" s="3"/>
      </tp>
      <tp>
        <v>-73.088300000000004</v>
        <stp/>
        <stp>##V3_BDHV12</stp>
        <stp>AMZN US Equity</stp>
        <stp>TCE_RATIO</stp>
        <stp>FQ3 2003</stp>
        <stp>FQ3 2003</stp>
        <stp>[FA1_j2ahgkxc.xlsx]Bal Sheet - Standardized!R67C21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7" s="3"/>
      </tp>
      <tp>
        <v>-126.6936</v>
        <stp/>
        <stp>##V3_BDHV12</stp>
        <stp>AMZN US Equity</stp>
        <stp>TCE_RATIO</stp>
        <stp>FQ3 2001</stp>
        <stp>FQ3 2001</stp>
        <stp>[FA1_j2ahgkxc.xlsx]Bal Sheet - Standardized!R67C13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7" s="3"/>
      </tp>
      <tp>
        <v>-132.77170000000001</v>
        <stp/>
        <stp>##V3_BDHV12</stp>
        <stp>AMZN US Equity</stp>
        <stp>TCE_RATIO</stp>
        <stp>FQ2 2001</stp>
        <stp>FQ2 2001</stp>
        <stp>[FA1_j2ahgkxc.xlsx]Bal Sheet - Standardized!R67C12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7" s="3"/>
      </tp>
      <tp>
        <v>-115.17659999999999</v>
        <stp/>
        <stp>##V3_BDHV12</stp>
        <stp>AMZN US Equity</stp>
        <stp>TCE_RATIO</stp>
        <stp>FQ1 2001</stp>
        <stp>FQ1 2001</stp>
        <stp>[FA1_j2ahgkxc.xlsx]Bal Sheet - Standardized!R67C11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7" s="3"/>
      </tp>
      <tp>
        <v>-97.557500000000005</v>
        <stp/>
        <stp>##V3_BDHV12</stp>
        <stp>AMZN US Equity</stp>
        <stp>TCE_RATIO</stp>
        <stp>FQ4 2001</stp>
        <stp>FQ4 2001</stp>
        <stp>[FA1_j2ahgkxc.xlsx]Bal Sheet - Standardized!R67C14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7" s="3"/>
      </tp>
      <tp t="s">
        <v>—</v>
        <stp/>
        <stp>##V3_BDHV12</stp>
        <stp>AMZN US Equity</stp>
        <stp>BS_OPTIONS_OUTSTANDING</stp>
        <stp>FQ4 2008</stp>
        <stp>FQ4 2008</stp>
        <stp>[FA1_j2ahgkxc.xlsx]Bal Sheet - Standardized!R64C42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4" s="3"/>
      </tp>
      <tp>
        <v>-0.11</v>
        <stp/>
        <stp>##V3_BDHV12</stp>
        <stp>AMZN US Equity</stp>
        <stp>IS_DIL_EPS_BEF_XO</stp>
        <stp>FQ2 2003</stp>
        <stp>FQ2 2003</stp>
        <stp>[FA1_j2ahgkxc.xlsx]Per Share!R18C20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8" s="5"/>
      </tp>
      <tp>
        <v>-0.47</v>
        <stp/>
        <stp>##V3_BDHV12</stp>
        <stp>AMZN US Equity</stp>
        <stp>IS_DIL_EPS_BEF_XO</stp>
        <stp>FQ2 2001</stp>
        <stp>FQ2 2001</stp>
        <stp>[FA1_j2ahgkxc.xlsx]Per Share!R18C12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8" s="5"/>
      </tp>
      <tp>
        <v>158</v>
        <stp/>
        <stp>##V3_BDHV12</stp>
        <stp>AMZN US Equity</stp>
        <stp>NI_INCLUDING_MINORITY_INT_RATIO</stp>
        <stp>FQ2 2008</stp>
        <stp>FQ2 2008</stp>
        <stp>[FA1_j2ahgkxc.xlsx]Income - Adjusted!R24C40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4" s="2"/>
      </tp>
      <tp t="s">
        <v>—</v>
        <stp/>
        <stp>##V3_BDHV12</stp>
        <stp>AMZN US Equity</stp>
        <stp>BS_OPTIONS_OUTSTANDING</stp>
        <stp>FQ4 2002</stp>
        <stp>FQ4 2002</stp>
        <stp>[FA1_j2ahgkxc.xlsx]Bal Sheet - Standardized!R64C18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4" s="3"/>
      </tp>
      <tp t="s">
        <v>—</v>
        <stp/>
        <stp>##V3_BDHV12</stp>
        <stp>AMZN US Equity</stp>
        <stp>IS_SELLING_EXPENSES</stp>
        <stp>FQ4 2003</stp>
        <stp>FQ4 2003</stp>
        <stp>[FA1_j2ahgkxc.xlsx]Income - Adjusted!R11C22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1" s="2"/>
      </tp>
      <tp t="s">
        <v>—</v>
        <stp/>
        <stp>##V3_BDHV12</stp>
        <stp>AMZN US Equity</stp>
        <stp>IS_SELLING_EXPENSES</stp>
        <stp>FQ1 2008</stp>
        <stp>FQ1 2008</stp>
        <stp>[FA1_j2ahgkxc.xlsx]Income - Adjusted!R11C39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1" s="2"/>
      </tp>
      <tp t="s">
        <v>—</v>
        <stp/>
        <stp>##V3_BDHV12</stp>
        <stp>AMZN US Equity</stp>
        <stp>IS_SELLING_EXPENSES</stp>
        <stp>FQ2 2007</stp>
        <stp>FQ2 2007</stp>
        <stp>[FA1_j2ahgkxc.xlsx]Income - Adjusted!R11C36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1" s="2"/>
      </tp>
      <tp t="s">
        <v>—</v>
        <stp/>
        <stp>##V3_BDHV12</stp>
        <stp>AMZN US Equity</stp>
        <stp>IS_SELLING_EXPENSES</stp>
        <stp>FQ3 2004</stp>
        <stp>FQ3 2004</stp>
        <stp>[FA1_j2ahgkxc.xlsx]Income - Adjusted!R11C25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1" s="2"/>
      </tp>
      <tp>
        <v>0</v>
        <stp/>
        <stp>##V3_BDHV12</stp>
        <stp>AMZN US Equity</stp>
        <stp>MIN_NONCONTROL_INTEREST_CREDITS</stp>
        <stp>FQ1 2006</stp>
        <stp>FQ1 2006</stp>
        <stp>[FA1_j2ahgkxc.xlsx]Income - Adjusted!R25C31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5" s="2"/>
      </tp>
      <tp>
        <v>0</v>
        <stp/>
        <stp>##V3_BDHV12</stp>
        <stp>AMZN US Equity</stp>
        <stp>MIN_NONCONTROL_INTEREST_CREDITS</stp>
        <stp>FQ1 2004</stp>
        <stp>FQ1 2004</stp>
        <stp>[FA1_j2ahgkxc.xlsx]Income - Adjusted!R25C23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5" s="2"/>
      </tp>
      <tp>
        <v>0</v>
        <stp/>
        <stp>##V3_BDHV12</stp>
        <stp>AMZN US Equity</stp>
        <stp>MIN_NONCONTROL_INTEREST_CREDITS</stp>
        <stp>FQ1 2002</stp>
        <stp>FQ1 2002</stp>
        <stp>[FA1_j2ahgkxc.xlsx]Income - Adjusted!R25C15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5" s="2"/>
      </tp>
      <tp>
        <v>52</v>
        <stp/>
        <stp>##V3_BDHV12</stp>
        <stp>AMZN US Equity</stp>
        <stp>EARN_FOR_COMMON</stp>
        <stp>FQ2 2005</stp>
        <stp>FQ2 2005</stp>
        <stp>[FA1_j2ahgkxc.xlsx]Income - Adjusted!R29C28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9" s="2"/>
      </tp>
      <tp>
        <v>89.688000000000002</v>
        <stp/>
        <stp>##V3_BDHV12</stp>
        <stp>AMZN US Equity</stp>
        <stp>PX_OPEN</stp>
        <stp>FQ2 1999</stp>
        <stp>FQ2 1999</stp>
        <stp>[FA1_j2ahgkxc.xlsx]Stock Value!R8C4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6"/>
      </tp>
      <tp>
        <v>0.38</v>
        <stp/>
        <stp>##V3_BDHV12</stp>
        <stp>AMZN US Equity</stp>
        <stp>IS_EARN_BEF_XO_ITEMS_PER_SH</stp>
        <stp>FQ2 2008</stp>
        <stp>FQ2 2008</stp>
        <stp>[FA1_j2ahgkxc.xlsx]Per Share!R15C40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5" s="5"/>
      </tp>
      <tp t="s">
        <v>—</v>
        <stp/>
        <stp>##V3_BDHV12</stp>
        <stp>AMZN US Equity</stp>
        <stp>NET_DEBT_TO_SHRHLDR_EQTY</stp>
        <stp>FQ3 2000</stp>
        <stp>FQ3 2000</stp>
        <stp>[FA1_j2ahgkxc.xlsx]Bal Sheet - Standardized!R66C9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6" s="3"/>
      </tp>
      <tp>
        <v>0</v>
        <stp/>
        <stp>##V3_BDHV12</stp>
        <stp>AMZN US Equity</stp>
        <stp>CF_ACT_CASH_PAID_FOR_INT_DEBT</stp>
        <stp>FQ2 2006</stp>
        <stp>FQ2 2006</stp>
        <stp>[FA1_j2ahgkxc.xlsx]Cash Flow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4"/>
      </tp>
      <tp>
        <v>-17.7499</v>
        <stp/>
        <stp>##V3_BDHV12</stp>
        <stp>AMZN US Equity</stp>
        <stp>CHG_PCT_PERIOD</stp>
        <stp>FQ1 2004</stp>
        <stp>FQ1 2004</stp>
        <stp>[FA1_j2ahgkxc.xlsx]Stock Value!R7C23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6"/>
      </tp>
      <tp>
        <v>1945.4390000000001</v>
        <stp/>
        <stp>##V3_BDHV12</stp>
        <stp>AMZN US Equity</stp>
        <stp>NON_CUR_LIAB</stp>
        <stp>FQ4 2003</stp>
        <stp>FQ4 2003</stp>
        <stp>[FA1_j2ahgkxc.xlsx]Bal Sheet - Standardized!R45C22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5" s="3"/>
      </tp>
      <tp>
        <v>1855.319</v>
        <stp/>
        <stp>##V3_BDHV12</stp>
        <stp>AMZN US Equity</stp>
        <stp>NON_CUR_LIAB</stp>
        <stp>FQ4 2004</stp>
        <stp>FQ4 2004</stp>
        <stp>[FA1_j2ahgkxc.xlsx]Bal Sheet - Standardized!R45C26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5" s="3"/>
      </tp>
      <tp>
        <v>-16.959700000000002</v>
        <stp/>
        <stp>##V3_BDHV12</stp>
        <stp>AMZN US Equity</stp>
        <stp>CHG_PCT_PERIOD</stp>
        <stp>FQ3 2006</stp>
        <stp>FQ3 2006</stp>
        <stp>[FA1_j2ahgkxc.xlsx]Stock Value!R7C33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6"/>
      </tp>
      <tp>
        <v>-57.809199999999997</v>
        <stp/>
        <stp>##V3_BDHV12</stp>
        <stp>AMZN US Equity</stp>
        <stp>CHG_PCT_PERIOD</stp>
        <stp>FQ3 2001</stp>
        <stp>FQ3 2001</stp>
        <stp>[FA1_j2ahgkxc.xlsx]Stock Value!R7C13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6"/>
      </tp>
      <tp>
        <v>0.3</v>
        <stp/>
        <stp>##V3_BDHV12</stp>
        <stp>AMZN US Equity</stp>
        <stp>ST_CAPITAL_LEASE_OBLIGATIONS</stp>
        <stp>FQ3 2005</stp>
        <stp>FQ3 2005</stp>
        <stp>[FA1_j2ahgkxc.xlsx]Bal Sheet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3"/>
      </tp>
      <tp>
        <v>1</v>
        <stp/>
        <stp>##V3_BDHV12</stp>
        <stp>AMZN US Equity</stp>
        <stp>CF_ACT_CASH_PAID_FOR_INT_DEBT</stp>
        <stp>FQ2 2007</stp>
        <stp>FQ2 2007</stp>
        <stp>[FA1_j2ahgkxc.xlsx]Cash Flow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4"/>
      </tp>
      <tp>
        <v>21.497</v>
        <stp/>
        <stp>##V3_BDHV12</stp>
        <stp>AMZN US Equity</stp>
        <stp>CF_ACT_CASH_PAID_FOR_INT_DEBT</stp>
        <stp>FQ3 2004</stp>
        <stp>FQ3 2004</stp>
        <stp>[FA1_j2ahgkxc.xlsx]Cash Flow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4"/>
      </tp>
      <tp>
        <v>30.018999999999998</v>
        <stp/>
        <stp>##V3_BDHV12</stp>
        <stp>AMZN US Equity</stp>
        <stp>CF_ACT_CASH_PAID_FOR_INT_DEBT</stp>
        <stp>FQ3 2003</stp>
        <stp>FQ3 2003</stp>
        <stp>[FA1_j2ahgkxc.xlsx]Cash Flow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4"/>
      </tp>
      <tp t="s">
        <v>—</v>
        <stp/>
        <stp>##V3_BDHV12</stp>
        <stp>AMZN US Equity</stp>
        <stp>ST_CAPITAL_LEASE_OBLIGATIONS</stp>
        <stp>FQ2 2007</stp>
        <stp>FQ2 2007</stp>
        <stp>[FA1_j2ahgkxc.xlsx]Bal Sheet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3"/>
      </tp>
      <tp>
        <v>21</v>
        <stp/>
        <stp>##V3_BDHV12</stp>
        <stp>AMZN US Equity</stp>
        <stp>CF_ACT_CASH_PAID_FOR_INT_DEBT</stp>
        <stp>FQ3 2005</stp>
        <stp>FQ3 2005</stp>
        <stp>[FA1_j2ahgkxc.xlsx]Cash Flow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4"/>
      </tp>
      <tp t="s">
        <v>—</v>
        <stp/>
        <stp>##V3_BDHV12</stp>
        <stp>AMZN US Equity</stp>
        <stp>ST_CAPITAL_LEASE_OBLIGATIONS</stp>
        <stp>FQ3 2004</stp>
        <stp>FQ3 2004</stp>
        <stp>[FA1_j2ahgkxc.xlsx]Bal Sheet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3"/>
      </tp>
      <tp t="s">
        <v>—</v>
        <stp/>
        <stp>##V3_BDHV12</stp>
        <stp>AMZN US Equity</stp>
        <stp>ST_CAPITAL_LEASE_OBLIGATIONS</stp>
        <stp>FQ3 2003</stp>
        <stp>FQ3 2003</stp>
        <stp>[FA1_j2ahgkxc.xlsx]Bal Sheet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3"/>
      </tp>
      <tp t="s">
        <v>—</v>
        <stp/>
        <stp>##V3_BDHV12</stp>
        <stp>AMZN US Equity</stp>
        <stp>ST_CAPITAL_LEASE_OBLIGATIONS</stp>
        <stp>FQ2 2006</stp>
        <stp>FQ2 2006</stp>
        <stp>[FA1_j2ahgkxc.xlsx]Bal Sheet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3"/>
      </tp>
      <tp>
        <v>876</v>
        <stp/>
        <stp>##V3_BDHV12</stp>
        <stp>AMZN US Equity</stp>
        <stp>NON_CUR_LIAB</stp>
        <stp>FQ2 2008</stp>
        <stp>FQ2 2008</stp>
        <stp>[FA1_j2ahgkxc.xlsx]Bal Sheet - Standardized!R45C40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5" s="3"/>
      </tp>
      <tp>
        <v>0.05</v>
        <stp/>
        <stp>##V3_BDHV12</stp>
        <stp>AMZN US Equity</stp>
        <stp>IS_DIL_EPS_CONT_OPS</stp>
        <stp>FQ2 2006</stp>
        <stp>FQ2 2006</stp>
        <stp>[FA1_j2ahgkxc.xlsx]Income - Adjusted!R42C32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2" s="2"/>
      </tp>
      <tp>
        <v>-0.01</v>
        <stp/>
        <stp>##V3_BDHV12</stp>
        <stp>AMZN US Equity</stp>
        <stp>IS_DIL_EPS_CONT_OPS</stp>
        <stp>FQ2 2002</stp>
        <stp>FQ2 2002</stp>
        <stp>[FA1_j2ahgkxc.xlsx]Income - Adjusted!R42C16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2" s="2"/>
      </tp>
      <tp t="s">
        <v>—</v>
        <stp/>
        <stp>##V3_BDHV12</stp>
        <stp>AMZN US Equity</stp>
        <stp>LT_CAPITAL_LEASE_OBLIGATIONS</stp>
        <stp>FQ2 2007</stp>
        <stp>FQ2 2007</stp>
        <stp>[FA1_j2ahgkxc.xlsx]Bal Sheet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3"/>
      </tp>
      <tp t="s">
        <v>—</v>
        <stp/>
        <stp>##V3_BDHV12</stp>
        <stp>AMZN US Equity</stp>
        <stp>LT_CAPITAL_LEASE_OBLIGATIONS</stp>
        <stp>FQ3 2004</stp>
        <stp>FQ3 2004</stp>
        <stp>[FA1_j2ahgkxc.xlsx]Bal Sheet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3"/>
      </tp>
      <tp t="s">
        <v>—</v>
        <stp/>
        <stp>##V3_BDHV12</stp>
        <stp>AMZN US Equity</stp>
        <stp>LT_CAPITAL_LEASE_OBLIGATIONS</stp>
        <stp>FQ3 2003</stp>
        <stp>FQ3 2003</stp>
        <stp>[FA1_j2ahgkxc.xlsx]Bal Sheet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3"/>
      </tp>
      <tp>
        <v>1990.4490000000001</v>
        <stp/>
        <stp>##V3_BDHV12</stp>
        <stp>AMZN US Equity</stp>
        <stp>BS_TOT_ASSET</stp>
        <stp>FQ4 2002</stp>
        <stp>FQ4 2002</stp>
        <stp>[FA1_j2ahgkxc.xlsx]Bal Sheet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3"/>
      </tp>
      <tp>
        <v>0</v>
        <stp/>
        <stp>##V3_BDHV12</stp>
        <stp>AMZN US Equity</stp>
        <stp>NET_CHG_IN_LT_INVEST_DETAILED</stp>
        <stp>FQ3 2008</stp>
        <stp>FQ3 2008</stp>
        <stp>[FA1_j2ahgkxc.xlsx]Cash Flow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4"/>
      </tp>
      <tp t="s">
        <v>—</v>
        <stp/>
        <stp>##V3_BDHV12</stp>
        <stp>AMZN US Equity</stp>
        <stp>LT_CAPITAL_LEASE_OBLIGATIONS</stp>
        <stp>FQ2 2006</stp>
        <stp>FQ2 2006</stp>
        <stp>[FA1_j2ahgkxc.xlsx]Bal Sheet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3"/>
      </tp>
      <tp t="s">
        <v>—</v>
        <stp/>
        <stp>##V3_BDHV12</stp>
        <stp>AMZN US Equity</stp>
        <stp>NET_CHG_IN_LT_INVEST_DETAILED</stp>
        <stp>FQ4 2007</stp>
        <stp>FQ4 2007</stp>
        <stp>[FA1_j2ahgkxc.xlsx]Cash Flow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4"/>
      </tp>
      <tp>
        <v>0</v>
        <stp/>
        <stp>##V3_BDHV12</stp>
        <stp>AMZN US Equity</stp>
        <stp>NET_CHG_IN_LT_INVEST_DETAILED</stp>
        <stp>FQ4 2006</stp>
        <stp>FQ4 2006</stp>
        <stp>[FA1_j2ahgkxc.xlsx]Cash Flow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4"/>
      </tp>
      <tp>
        <v>2135.1689000000001</v>
        <stp/>
        <stp>##V3_BDHV12</stp>
        <stp>AMZN US Equity</stp>
        <stp>BS_TOT_ASSET</stp>
        <stp>FQ4 2000</stp>
        <stp>FQ4 2000</stp>
        <stp>[FA1_j2ahgkxc.xlsx]Bal Sheet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3"/>
      </tp>
      <tp>
        <v>0.7</v>
        <stp/>
        <stp>##V3_BDHV12</stp>
        <stp>AMZN US Equity</stp>
        <stp>LT_CAPITAL_LEASE_OBLIGATIONS</stp>
        <stp>FQ3 2005</stp>
        <stp>FQ3 2005</stp>
        <stp>[FA1_j2ahgkxc.xlsx]Bal Sheet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3"/>
      </tp>
      <tp>
        <v>1637.547</v>
        <stp/>
        <stp>##V3_BDHV12</stp>
        <stp>AMZN US Equity</stp>
        <stp>BS_TOT_ASSET</stp>
        <stp>FQ4 2001</stp>
        <stp>FQ4 2001</stp>
        <stp>[FA1_j2ahgkxc.xlsx]Bal Sheet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3"/>
      </tp>
      <tp>
        <v>126</v>
        <stp/>
        <stp>##V3_BDHV12</stp>
        <stp>AMZN US Equity</stp>
        <stp>NET_CHG_IN_LT_INVEST_DETAILED</stp>
        <stp>FQ4 2005</stp>
        <stp>FQ4 2005</stp>
        <stp>[FA1_j2ahgkxc.xlsx]Cash Flow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4"/>
      </tp>
      <tp t="s">
        <v>—</v>
        <stp/>
        <stp>##V3_BDHV12</stp>
        <stp>AMZN US Equity</stp>
        <stp>OTHER_ADJUSTMENTS</stp>
        <stp>FQ3 1999</stp>
        <stp>FQ3 1999</stp>
        <stp>[FA1_j2ahgkxc.xlsx]Income - Adjusted!R28C6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2"/>
      </tp>
      <tp>
        <v>19.632100000000001</v>
        <stp/>
        <stp>##V3_BDHV12</stp>
        <stp>AMZN US Equity</stp>
        <stp>TCE_RATIO</stp>
        <stp>FQ1 2008</stp>
        <stp>FQ1 2008</stp>
        <stp>[FA1_j2ahgkxc.xlsx]Bal Sheet - Standardized!R67C39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7" s="3"/>
      </tp>
      <tp>
        <v>-109.071</v>
        <stp/>
        <stp>##V3_BDHV12</stp>
        <stp>AMZN US Equity</stp>
        <stp>IS_OPER_INC</stp>
        <stp>FQ2 1999</stp>
        <stp>FQ2 1999</stp>
        <stp>[FA1_j2ahgkxc.xlsx]Income - Adjusted!R12C5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0</v>
        <stp/>
        <stp>##V3_BDHV12</stp>
        <stp>AMZN US Equity</stp>
        <stp>OTHER_ADJUSTMENTS</stp>
        <stp>FQ3 2000</stp>
        <stp>FQ3 2000</stp>
        <stp>[FA1_j2ahgkxc.xlsx]Income - Adjusted!R28C9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2"/>
      </tp>
      <tp>
        <v>-323.21300000000002</v>
        <stp/>
        <stp>##V3_BDHV12</stp>
        <stp>AMZN US Equity</stp>
        <stp>NI_INCLUDING_MINORITY_INT_RATIO</stp>
        <stp>FQ4 1999</stp>
        <stp>FQ4 1999</stp>
        <stp>[FA1_j2ahgkxc.xlsx]Income - Adjusted!R24C7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4" s="2"/>
      </tp>
      <tp>
        <v>0</v>
        <stp/>
        <stp>##V3_BDHV12</stp>
        <stp>AMZN US Equity</stp>
        <stp>MIN_NONCONTROL_INTEREST_CREDITS</stp>
        <stp>FQ4 1999</stp>
        <stp>FQ4 1999</stp>
        <stp>[FA1_j2ahgkxc.xlsx]Income - Adjusted!R25C7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5" s="2"/>
      </tp>
      <tp>
        <v>472.99599999999998</v>
        <stp/>
        <stp>##V3_BDHV12</stp>
        <stp>AMZN US Equity</stp>
        <stp>OTHER_CURRENT_LIABS_SUB_DETAILED</stp>
        <stp>FQ4 2000</stp>
        <stp>FQ4 2000</stp>
        <stp>[FA1_j2ahgkxc.xlsx]Bal Sheet - Standardized!R37C10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7" s="3"/>
      </tp>
      <tp>
        <v>461.67399999999998</v>
        <stp/>
        <stp>##V3_BDHV12</stp>
        <stp>AMZN US Equity</stp>
        <stp>OTHER_CURRENT_LIABS_SUB_DETAILED</stp>
        <stp>FQ4 2001</stp>
        <stp>FQ4 2001</stp>
        <stp>[FA1_j2ahgkxc.xlsx]Bal Sheet - Standardized!R37C14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7" s="3"/>
      </tp>
      <tp>
        <v>434.512</v>
        <stp/>
        <stp>##V3_BDHV12</stp>
        <stp>AMZN US Equity</stp>
        <stp>OTHER_CURRENT_LIABS_SUB_DETAILED</stp>
        <stp>FQ4 2002</stp>
        <stp>FQ4 2002</stp>
        <stp>[FA1_j2ahgkxc.xlsx]Bal Sheet - Standardized!R37C18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7" s="3"/>
      </tp>
      <tp>
        <v>-240.524</v>
        <stp/>
        <stp>##V3_BDHV12</stp>
        <stp>AMZN US Equity</stp>
        <stp>NET_INCOME</stp>
        <stp>FQ3 2000</stp>
        <stp>FQ3 2000</stp>
        <stp>[FA1_j2ahgkxc.xlsx]Income - Adjusted!R26C9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6" s="2"/>
      </tp>
      <tp>
        <v>-62.146999999999998</v>
        <stp/>
        <stp>##V3_BDHV12</stp>
        <stp>AMZN US Equity</stp>
        <stp>CF_CHANGE_IN_INVENTORIES</stp>
        <stp>FQ3 2003</stp>
        <stp>FQ3 2003</stp>
        <stp>[FA1_j2ahgkxc.xlsx]Cash Flow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4"/>
      </tp>
      <tp>
        <v>-69.626000000000005</v>
        <stp/>
        <stp>##V3_BDHV12</stp>
        <stp>AMZN US Equity</stp>
        <stp>CF_CHANGE_IN_INVENTORIES</stp>
        <stp>FQ3 2004</stp>
        <stp>FQ3 2004</stp>
        <stp>[FA1_j2ahgkxc.xlsx]Cash Flow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4"/>
      </tp>
      <tp>
        <v>25</v>
        <stp/>
        <stp>##V3_BDHV12</stp>
        <stp>AMZN US Equity</stp>
        <stp>CF_CHANGE_IN_INVENTORIES</stp>
        <stp>FQ2 2007</stp>
        <stp>FQ2 2007</stp>
        <stp>[FA1_j2ahgkxc.xlsx]Cash Flow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4"/>
      </tp>
      <tp>
        <v>30</v>
        <stp/>
        <stp>##V3_BDHV12</stp>
        <stp>AMZN US Equity</stp>
        <stp>CF_CHANGE_IN_INVENTORIES</stp>
        <stp>FQ2 2006</stp>
        <stp>FQ2 2006</stp>
        <stp>[FA1_j2ahgkxc.xlsx]Cash Flow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4"/>
      </tp>
      <tp>
        <v>-138.00800000000001</v>
        <stp/>
        <stp>##V3_BDHV12</stp>
        <stp>AMZN US Equity</stp>
        <stp>PRETAX_INC</stp>
        <stp>FQ2 1999</stp>
        <stp>FQ2 1999</stp>
        <stp>[FA1_j2ahgkxc.xlsx]Income - Adjusted!R20C5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0" s="2"/>
      </tp>
      <tp>
        <v>-76</v>
        <stp/>
        <stp>##V3_BDHV12</stp>
        <stp>AMZN US Equity</stp>
        <stp>CF_CHANGE_IN_INVENTORIES</stp>
        <stp>FQ3 2005</stp>
        <stp>FQ3 2005</stp>
        <stp>[FA1_j2ahgkxc.xlsx]Cash Flow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4"/>
      </tp>
      <tp t="s">
        <v>—</v>
        <stp/>
        <stp>##V3_BDHV12</stp>
        <stp>AMZN US Equity</stp>
        <stp>CASH_FLOW_TO_NET_INC</stp>
        <stp>FQ4 2000</stp>
        <stp>FQ4 2000</stp>
        <stp>[FA1_j2ahgkxc.xlsx]Cash Flow - Standardized!R54C10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54" s="4"/>
      </tp>
      <tp t="s">
        <v>—</v>
        <stp/>
        <stp>##V3_BDHV12</stp>
        <stp>AMZN US Equity</stp>
        <stp>ACTUAL_SALES_PER_EMPL</stp>
        <stp>FQ1 2000</stp>
        <stp>FQ1 2000</stp>
        <stp>[FA1_j2ahgkxc.xlsx]Income - Adjusted!R53C8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3" s="2"/>
      </tp>
      <tp t="s">
        <v>—</v>
        <stp/>
        <stp>##V3_BDHV12</stp>
        <stp>AMZN US Equity</stp>
        <stp>ACTUAL_SALES_PER_EMPL</stp>
        <stp>FQ3 2000</stp>
        <stp>FQ3 2000</stp>
        <stp>[FA1_j2ahgkxc.xlsx]Income - Adjusted!R53C9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3" s="2"/>
      </tp>
      <tp>
        <v>422.80200000000002</v>
        <stp/>
        <stp>##V3_BDHV12</stp>
        <stp>AMZN US Equity</stp>
        <stp>IS_SH_FOR_DILUTED_EPS</stp>
        <stp>FQ3 2003</stp>
        <stp>FQ3 2003</stp>
        <stp>[FA1_j2ahgkxc.xlsx]Per Share!R7C21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5"/>
      </tp>
      <tp>
        <v>418.13799999999998</v>
        <stp/>
        <stp>##V3_BDHV12</stp>
        <stp>AMZN US Equity</stp>
        <stp>IS_SH_FOR_DILUTED_EPS</stp>
        <stp>FQ2 2003</stp>
        <stp>FQ2 2003</stp>
        <stp>[FA1_j2ahgkxc.xlsx]Per Share!R7C20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5"/>
      </tp>
      <tp>
        <v>359.75200000000001</v>
        <stp/>
        <stp>##V3_BDHV12</stp>
        <stp>AMZN US Equity</stp>
        <stp>IS_SH_FOR_DILUTED_EPS</stp>
        <stp>FQ2 2001</stp>
        <stp>FQ2 2001</stp>
        <stp>[FA1_j2ahgkxc.xlsx]Per Share!R7C12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5"/>
      </tp>
      <tp>
        <v>368.05200000000002</v>
        <stp/>
        <stp>##V3_BDHV12</stp>
        <stp>AMZN US Equity</stp>
        <stp>IS_SH_FOR_DILUTED_EPS</stp>
        <stp>FQ3 2001</stp>
        <stp>FQ3 2001</stp>
        <stp>[FA1_j2ahgkxc.xlsx]Per Share!R7C13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5"/>
      </tp>
      <tp>
        <v>357.42399999999998</v>
        <stp/>
        <stp>##V3_BDHV12</stp>
        <stp>AMZN US Equity</stp>
        <stp>IS_SH_FOR_DILUTED_EPS</stp>
        <stp>FQ1 2001</stp>
        <stp>FQ1 2001</stp>
        <stp>[FA1_j2ahgkxc.xlsx]Per Share!R7C11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5"/>
      </tp>
      <tp>
        <v>384.04500000000002</v>
        <stp/>
        <stp>##V3_BDHV12</stp>
        <stp>AMZN US Equity</stp>
        <stp>IS_SH_FOR_DILUTED_EPS</stp>
        <stp>FQ4 2001</stp>
        <stp>FQ4 2001</stp>
        <stp>[FA1_j2ahgkxc.xlsx]Per Share!R7C14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5"/>
      </tp>
      <tp>
        <v>426</v>
        <stp/>
        <stp>##V3_BDHV12</stp>
        <stp>AMZN US Equity</stp>
        <stp>IS_SH_FOR_DILUTED_EPS</stp>
        <stp>FQ4 2005</stp>
        <stp>FQ4 2005</stp>
        <stp>[FA1_j2ahgkxc.xlsx]Per Share!R7C30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5"/>
      </tp>
      <tp>
        <v>415</v>
        <stp/>
        <stp>##V3_BDHV12</stp>
        <stp>AMZN US Equity</stp>
        <stp>IS_AVG_NUM_SH_FOR_EPS</stp>
        <stp>FQ4 2005</stp>
        <stp>FQ4 2005</stp>
        <stp>[FA1_j2ahgkxc.xlsx]Per Share!R8C30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5"/>
      </tp>
      <tp>
        <v>357.42399999999998</v>
        <stp/>
        <stp>##V3_BDHV12</stp>
        <stp>AMZN US Equity</stp>
        <stp>IS_AVG_NUM_SH_FOR_EPS</stp>
        <stp>FQ1 2001</stp>
        <stp>FQ1 2001</stp>
        <stp>[FA1_j2ahgkxc.xlsx]Per Share!R8C11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5"/>
      </tp>
      <tp>
        <v>368.05200000000002</v>
        <stp/>
        <stp>##V3_BDHV12</stp>
        <stp>AMZN US Equity</stp>
        <stp>IS_AVG_NUM_SH_FOR_EPS</stp>
        <stp>FQ3 2001</stp>
        <stp>FQ3 2001</stp>
        <stp>[FA1_j2ahgkxc.xlsx]Per Share!R8C13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5"/>
      </tp>
      <tp>
        <v>359.75200000000001</v>
        <stp/>
        <stp>##V3_BDHV12</stp>
        <stp>AMZN US Equity</stp>
        <stp>IS_AVG_NUM_SH_FOR_EPS</stp>
        <stp>FQ2 2001</stp>
        <stp>FQ2 2001</stp>
        <stp>[FA1_j2ahgkxc.xlsx]Per Share!R8C12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5"/>
      </tp>
      <tp>
        <v>371.42</v>
        <stp/>
        <stp>##V3_BDHV12</stp>
        <stp>AMZN US Equity</stp>
        <stp>IS_AVG_NUM_SH_FOR_EPS</stp>
        <stp>FQ4 2001</stp>
        <stp>FQ4 2001</stp>
        <stp>[FA1_j2ahgkxc.xlsx]Per Share!R8C14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5"/>
      </tp>
      <tp>
        <v>393.87599999999998</v>
        <stp/>
        <stp>##V3_BDHV12</stp>
        <stp>AMZN US Equity</stp>
        <stp>IS_AVG_NUM_SH_FOR_EPS</stp>
        <stp>FQ2 2003</stp>
        <stp>FQ2 2003</stp>
        <stp>[FA1_j2ahgkxc.xlsx]Per Share!R8C20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5"/>
      </tp>
      <tp>
        <v>397.91199999999998</v>
        <stp/>
        <stp>##V3_BDHV12</stp>
        <stp>AMZN US Equity</stp>
        <stp>IS_AVG_NUM_SH_FOR_EPS</stp>
        <stp>FQ3 2003</stp>
        <stp>FQ3 2003</stp>
        <stp>[FA1_j2ahgkxc.xlsx]Per Share!R8C21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5"/>
      </tp>
      <tp t="s">
        <v>—</v>
        <stp/>
        <stp>##V3_BDHV12</stp>
        <stp>AMZN US Equity</stp>
        <stp>CASH_CONVERSION_CYCLE</stp>
        <stp>FQ3 2001</stp>
        <stp>FQ3 2001</stp>
        <stp>[FA1_j2ahgkxc.xlsx]Bal Sheet - Standardized!R69C13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69" s="3"/>
      </tp>
      <tp t="s">
        <v>—</v>
        <stp/>
        <stp>##V3_BDHV12</stp>
        <stp>AMZN US Equity</stp>
        <stp>CASH_CONVERSION_CYCLE</stp>
        <stp>FQ2 2001</stp>
        <stp>FQ2 2001</stp>
        <stp>[FA1_j2ahgkxc.xlsx]Bal Sheet - Standardized!R69C12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69" s="3"/>
      </tp>
      <tp t="s">
        <v>—</v>
        <stp/>
        <stp>##V3_BDHV12</stp>
        <stp>AMZN US Equity</stp>
        <stp>CASH_CONVERSION_CYCLE</stp>
        <stp>FQ1 2001</stp>
        <stp>FQ1 2001</stp>
        <stp>[FA1_j2ahgkxc.xlsx]Bal Sheet - Standardized!R69C11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69" s="3"/>
      </tp>
      <tp t="s">
        <v>—</v>
        <stp/>
        <stp>##V3_BDHV12</stp>
        <stp>AMZN US Equity</stp>
        <stp>CASH_CONVERSION_CYCLE</stp>
        <stp>FQ4 2001</stp>
        <stp>FQ4 2001</stp>
        <stp>[FA1_j2ahgkxc.xlsx]Bal Sheet - Standardized!R69C14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69" s="3"/>
      </tp>
      <tp>
        <v>2.6509999999999998</v>
        <stp/>
        <stp>##V3_BDHV12</stp>
        <stp>AMZN US Equity</stp>
        <stp>CF_NET_INC</stp>
        <stp>FQ4 2002</stp>
        <stp>FQ4 2002</stp>
        <stp>[FA1_j2ahgkxc.xlsx]Cash Flow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4"/>
      </tp>
      <tp>
        <v>-10.121</v>
        <stp/>
        <stp>##V3_BDHV12</stp>
        <stp>AMZN US Equity</stp>
        <stp>CF_NET_INC</stp>
        <stp>FQ1 2003</stp>
        <stp>FQ1 2003</stp>
        <stp>[FA1_j2ahgkxc.xlsx]Cash Flow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4"/>
      </tp>
      <tp>
        <v>-545.14</v>
        <stp/>
        <stp>##V3_BDHV12</stp>
        <stp>AMZN US Equity</stp>
        <stp>CF_NET_INC</stp>
        <stp>FQ4 2000</stp>
        <stp>FQ4 2000</stp>
        <stp>[FA1_j2ahgkxc.xlsx]Cash Flow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4"/>
      </tp>
      <tp>
        <v>-93.552999999999997</v>
        <stp/>
        <stp>##V3_BDHV12</stp>
        <stp>AMZN US Equity</stp>
        <stp>CF_NET_INC</stp>
        <stp>FQ2 2002</stp>
        <stp>FQ2 2002</stp>
        <stp>[FA1_j2ahgkxc.xlsx]Cash Flow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4"/>
      </tp>
      <tp>
        <v>-35.08</v>
        <stp/>
        <stp>##V3_BDHV12</stp>
        <stp>AMZN US Equity</stp>
        <stp>CF_NET_INC</stp>
        <stp>FQ3 2002</stp>
        <stp>FQ3 2002</stp>
        <stp>[FA1_j2ahgkxc.xlsx]Cash Flow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4"/>
      </tp>
      <tp>
        <v>-23.15</v>
        <stp/>
        <stp>##V3_BDHV12</stp>
        <stp>AMZN US Equity</stp>
        <stp>CF_NET_INC</stp>
        <stp>FQ1 2002</stp>
        <stp>FQ1 2002</stp>
        <stp>[FA1_j2ahgkxc.xlsx]Cash Flow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4"/>
      </tp>
      <tp>
        <v>5.0869999999999997</v>
        <stp/>
        <stp>##V3_BDHV12</stp>
        <stp>AMZN US Equity</stp>
        <stp>CF_NET_INC</stp>
        <stp>FQ4 2001</stp>
        <stp>FQ4 2001</stp>
        <stp>[FA1_j2ahgkxc.xlsx]Cash Flow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4"/>
      </tp>
      <tp>
        <v>-234.131</v>
        <stp/>
        <stp>##V3_BDHV12</stp>
        <stp>AMZN US Equity</stp>
        <stp>CF_NET_INC</stp>
        <stp>FQ1 2001</stp>
        <stp>FQ1 2001</stp>
        <stp>[FA1_j2ahgkxc.xlsx]Cash Flow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4"/>
      </tp>
      <tp>
        <v>-169.874</v>
        <stp/>
        <stp>##V3_BDHV12</stp>
        <stp>AMZN US Equity</stp>
        <stp>CF_NET_INC</stp>
        <stp>FQ3 2001</stp>
        <stp>FQ3 2001</stp>
        <stp>[FA1_j2ahgkxc.xlsx]Cash Flow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4"/>
      </tp>
      <tp>
        <v>-168.35900000000001</v>
        <stp/>
        <stp>##V3_BDHV12</stp>
        <stp>AMZN US Equity</stp>
        <stp>CF_NET_INC</stp>
        <stp>FQ2 2001</stp>
        <stp>FQ2 2001</stp>
        <stp>[FA1_j2ahgkxc.xlsx]Cash Flow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4"/>
      </tp>
      <tp>
        <v>-2.4790000000000001</v>
        <stp/>
        <stp>##V3_BDHV12</stp>
        <stp>AMZN US Equity</stp>
        <stp>CF_CHANGE_IN_INVENTORIES</stp>
        <stp>FQ2 2003</stp>
        <stp>FQ2 2003</stp>
        <stp>[FA1_j2ahgkxc.xlsx]Cash Flow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4"/>
      </tp>
      <tp t="s">
        <v>—</v>
        <stp/>
        <stp>##V3_BDHV12</stp>
        <stp>AMZN US Equity</stp>
        <stp>CF_CHANGE_IN_INVENTORIES</stp>
        <stp>FQ1 2001</stp>
        <stp>FQ1 2001</stp>
        <stp>[FA1_j2ahgkxc.xlsx]Cash Flow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4"/>
      </tp>
      <tp>
        <v>-4.7160000000000002</v>
        <stp/>
        <stp>##V3_BDHV12</stp>
        <stp>AMZN US Equity</stp>
        <stp>CF_CHANGE_IN_INVENTORIES</stp>
        <stp>FQ2 2004</stp>
        <stp>FQ2 2004</stp>
        <stp>[FA1_j2ahgkxc.xlsx]Cash Flow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4"/>
      </tp>
      <tp>
        <v>-223</v>
        <stp/>
        <stp>##V3_BDHV12</stp>
        <stp>AMZN US Equity</stp>
        <stp>CF_CHANGE_IN_INVENTORIES</stp>
        <stp>FQ3 2007</stp>
        <stp>FQ3 2007</stp>
        <stp>[FA1_j2ahgkxc.xlsx]Cash Flow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4"/>
      </tp>
      <tp>
        <v>-3009.71</v>
        <stp/>
        <stp>##V3_BDHV12</stp>
        <stp>AMZN US Equity</stp>
        <stp>BS_PURE_RETAINED_EARNINGS</stp>
        <stp>FQ4 2002</stp>
        <stp>FQ4 2002</stp>
        <stp>[FA1_j2ahgkxc.xlsx]Bal Sheet - Standardized!R50C18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0" s="3"/>
      </tp>
      <tp t="s">
        <v>—</v>
        <stp/>
        <stp>##V3_BDHV12</stp>
        <stp>AMZN US Equity</stp>
        <stp>CF_CHANGE_IN_INVENTORIES</stp>
        <stp>FQ1 2002</stp>
        <stp>FQ1 2002</stp>
        <stp>[FA1_j2ahgkxc.xlsx]Cash Flow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4"/>
      </tp>
      <tp>
        <v>-218</v>
        <stp/>
        <stp>##V3_BDHV12</stp>
        <stp>AMZN US Equity</stp>
        <stp>CF_CHANGE_IN_INVENTORIES</stp>
        <stp>FQ3 2006</stp>
        <stp>FQ3 2006</stp>
        <stp>[FA1_j2ahgkxc.xlsx]Cash Flow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4"/>
      </tp>
      <tp>
        <v>-46.427</v>
        <stp/>
        <stp>##V3_BDHV12</stp>
        <stp>AMZN US Equity</stp>
        <stp>PRETAX_INC</stp>
        <stp>FQ4 1998</stp>
        <stp>FQ4 1998</stp>
        <stp>[FA1_j2ahgkxc.xlsx]Income - Adjusted!R20C3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0" s="2"/>
      </tp>
      <tp t="s">
        <v>—</v>
        <stp/>
        <stp>##V3_BDHV12</stp>
        <stp>AMZN US Equity</stp>
        <stp>BS_PURE_RETAINED_EARNINGS</stp>
        <stp>FQ4 2000</stp>
        <stp>FQ4 2000</stp>
        <stp>[FA1_j2ahgkxc.xlsx]Bal Sheet - Standardized!R50C10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0" s="3"/>
      </tp>
      <tp>
        <v>30.625</v>
        <stp/>
        <stp>##V3_BDHV12</stp>
        <stp>AMZN US Equity</stp>
        <stp>CF_CHANGE_IN_INVENTORIES</stp>
        <stp>FQ1 2003</stp>
        <stp>FQ1 2003</stp>
        <stp>[FA1_j2ahgkxc.xlsx]Cash Flow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4"/>
      </tp>
      <tp t="s">
        <v>—</v>
        <stp/>
        <stp>##V3_BDHV12</stp>
        <stp>AMZN US Equity</stp>
        <stp>BS_PURE_RETAINED_EARNINGS</stp>
        <stp>FQ4 2001</stp>
        <stp>FQ4 2001</stp>
        <stp>[FA1_j2ahgkxc.xlsx]Bal Sheet - Standardized!R50C14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0" s="3"/>
      </tp>
      <tp>
        <v>-102</v>
        <stp/>
        <stp>##V3_BDHV12</stp>
        <stp>AMZN US Equity</stp>
        <stp>CF_CHANGE_IN_INVENTORIES</stp>
        <stp>FQ4 2008</stp>
        <stp>FQ4 2008</stp>
        <stp>[FA1_j2ahgkxc.xlsx]Cash Flow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4"/>
      </tp>
      <tp>
        <v>13</v>
        <stp/>
        <stp>##V3_BDHV12</stp>
        <stp>AMZN US Equity</stp>
        <stp>CF_CHANGE_IN_INVENTORIES</stp>
        <stp>FQ2 2005</stp>
        <stp>FQ2 2005</stp>
        <stp>[FA1_j2ahgkxc.xlsx]Cash Flow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4"/>
      </tp>
      <tp>
        <v>68.629800000000003</v>
        <stp/>
        <stp>##V3_BDHV12</stp>
        <stp>AMZN US Equity</stp>
        <stp>CASH_FLOW_TO_NET_INC</stp>
        <stp>FQ4 2001</stp>
        <stp>FQ4 2001</stp>
        <stp>[FA1_j2ahgkxc.xlsx]Cash Flow - Standardized!R54C14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54" s="4"/>
      </tp>
      <tp t="s">
        <v>—</v>
        <stp/>
        <stp>##V3_BDHV12</stp>
        <stp>AMZN US Equity</stp>
        <stp>CASH_FLOW_TO_NET_INC</stp>
        <stp>FQ2 2001</stp>
        <stp>FQ2 2001</stp>
        <stp>[FA1_j2ahgkxc.xlsx]Cash Flow - Standardized!R54C12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54" s="4"/>
      </tp>
      <tp t="s">
        <v>—</v>
        <stp/>
        <stp>##V3_BDHV12</stp>
        <stp>AMZN US Equity</stp>
        <stp>CASH_FLOW_TO_NET_INC</stp>
        <stp>FQ3 2001</stp>
        <stp>FQ3 2001</stp>
        <stp>[FA1_j2ahgkxc.xlsx]Cash Flow - Standardized!R54C13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54" s="4"/>
      </tp>
      <tp t="s">
        <v>—</v>
        <stp/>
        <stp>##V3_BDHV12</stp>
        <stp>AMZN US Equity</stp>
        <stp>CASH_FLOW_TO_NET_INC</stp>
        <stp>FQ1 2001</stp>
        <stp>FQ1 2001</stp>
        <stp>[FA1_j2ahgkxc.xlsx]Cash Flow - Standardized!R54C11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54" s="4"/>
      </tp>
      <tp>
        <v>0.29799999999999999</v>
        <stp/>
        <stp>##V3_BDHV12</stp>
        <stp>AMZN US Equity</stp>
        <stp>OTHER_NONCURRENT_ASSETS_DETAILED</stp>
        <stp>FQ4 1998</stp>
        <stp>FQ4 1998</stp>
        <stp>[FA1_j2ahgkxc.xlsx]Bal Sheet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3"/>
      </tp>
      <tp>
        <v>227.82300000000001</v>
        <stp/>
        <stp>##V3_BDHV12</stp>
        <stp>AMZN US Equity</stp>
        <stp>OTHER_NONCURRENT_ASSETS_DETAILED</stp>
        <stp>FQ2 1999</stp>
        <stp>FQ2 1999</stp>
        <stp>[FA1_j2ahgkxc.xlsx]Bal Sheet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3"/>
      </tp>
      <tp>
        <v>39.911999999999999</v>
        <stp/>
        <stp>##V3_BDHV12</stp>
        <stp>AMZN US Equity</stp>
        <stp>OTHER_NONCURRENT_ASSETS_DETAILED</stp>
        <stp>FQ1 1999</stp>
        <stp>FQ1 1999</stp>
        <stp>[FA1_j2ahgkxc.xlsx]Bal Sheet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3"/>
      </tp>
      <tp>
        <v>36.238999999999997</v>
        <stp/>
        <stp>##V3_BDHV12</stp>
        <stp>AMZN US Equity</stp>
        <stp>OTHER_NONCURRENT_ASSETS_DETAILED</stp>
        <stp>FQ3 1999</stp>
        <stp>FQ3 1999</stp>
        <stp>[FA1_j2ahgkxc.xlsx]Bal Sheet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3"/>
      </tp>
      <tp>
        <v>462.32600000000002</v>
        <stp/>
        <stp>##V3_BDHV12</stp>
        <stp>AMZN US Equity</stp>
        <stp>OTHER_NONCURRENT_ASSETS_DETAILED</stp>
        <stp>FQ4 1999</stp>
        <stp>FQ4 1999</stp>
        <stp>[FA1_j2ahgkxc.xlsx]Bal Sheet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3"/>
      </tp>
      <tp>
        <v>35.244</v>
        <stp/>
        <stp>##V3_BDHV12</stp>
        <stp>AMZN US Equity</stp>
        <stp>IS_INT_EXPENSE</stp>
        <stp>FQ1 2002</stp>
        <stp>FQ1 2002</stp>
        <stp>[FA1_j2ahgkxc.xlsx]Income - Adjusted!R14C15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4" s="2"/>
      </tp>
      <tp>
        <v>21</v>
        <stp/>
        <stp>##V3_BDHV12</stp>
        <stp>AMZN US Equity</stp>
        <stp>IS_INT_EXPENSE</stp>
        <stp>FQ1 2006</stp>
        <stp>FQ1 2006</stp>
        <stp>[FA1_j2ahgkxc.xlsx]Income - Adjusted!R14C31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4" s="2"/>
      </tp>
      <tp>
        <v>27.731000000000002</v>
        <stp/>
        <stp>##V3_BDHV12</stp>
        <stp>AMZN US Equity</stp>
        <stp>IS_INT_EXPENSE</stp>
        <stp>FQ1 2004</stp>
        <stp>FQ1 2004</stp>
        <stp>[FA1_j2ahgkxc.xlsx]Income - Adjusted!R14C23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4" s="2"/>
      </tp>
      <tp t="s">
        <v>—</v>
        <stp/>
        <stp>##V3_BDHV12</stp>
        <stp>AMZN US Equity</stp>
        <stp>CF_CHANGE_IN_ACCOUNTS_PAYABLE</stp>
        <stp>FQ1 1999</stp>
        <stp>FQ1 1999</stp>
        <stp>[FA1_j2ahgkxc.xlsx]Cash Flow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4"/>
      </tp>
      <tp t="s">
        <v>—</v>
        <stp/>
        <stp>##V3_BDHV12</stp>
        <stp>AMZN US Equity</stp>
        <stp>CF_CHANGE_IN_ACCOUNTS_PAYABLE</stp>
        <stp>FQ4 1999</stp>
        <stp>FQ4 1999</stp>
        <stp>[FA1_j2ahgkxc.xlsx]Cash Flow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4"/>
      </tp>
      <tp t="s">
        <v>—</v>
        <stp/>
        <stp>##V3_BDHV12</stp>
        <stp>AMZN US Equity</stp>
        <stp>CF_CHANGE_IN_ACCOUNTS_PAYABLE</stp>
        <stp>FQ2 1999</stp>
        <stp>FQ2 1999</stp>
        <stp>[FA1_j2ahgkxc.xlsx]Cash Flow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4"/>
      </tp>
      <tp t="s">
        <v>—</v>
        <stp/>
        <stp>##V3_BDHV12</stp>
        <stp>AMZN US Equity</stp>
        <stp>CF_CHANGE_IN_ACCOUNTS_PAYABLE</stp>
        <stp>FQ3 1999</stp>
        <stp>FQ3 1999</stp>
        <stp>[FA1_j2ahgkxc.xlsx]Cash Flow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4"/>
      </tp>
      <tp>
        <v>426</v>
        <stp/>
        <stp>##V3_BDHV12</stp>
        <stp>AMZN US Equity</stp>
        <stp>IS_SH_FOR_DILUTED_EPS</stp>
        <stp>FQ1 2008</stp>
        <stp>FQ1 2008</stp>
        <stp>[FA1_j2ahgkxc.xlsx]Per Share!R7C39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5"/>
      </tp>
      <tp t="s">
        <v>—</v>
        <stp/>
        <stp>##V3_BDHV12</stp>
        <stp>AMZN US Equity</stp>
        <stp>CASH_CONVERSION_CYCLE</stp>
        <stp>FQ4 2000</stp>
        <stp>FQ4 2000</stp>
        <stp>[FA1_j2ahgkxc.xlsx]Bal Sheet - Standardized!R69C10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69" s="3"/>
      </tp>
      <tp>
        <v>417</v>
        <stp/>
        <stp>##V3_BDHV12</stp>
        <stp>AMZN US Equity</stp>
        <stp>IS_AVG_NUM_SH_FOR_EPS</stp>
        <stp>FQ1 2008</stp>
        <stp>FQ1 2008</stp>
        <stp>[FA1_j2ahgkxc.xlsx]Per Share!R8C39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5"/>
      </tp>
      <tp>
        <v>665</v>
        <stp/>
        <stp>##V3_BDHV12</stp>
        <stp>AMZN US Equity</stp>
        <stp>OTHER_CURRENT_LIABS_SUB_DETAILED</stp>
        <stp>FQ4 2006</stp>
        <stp>FQ4 2006</stp>
        <stp>[FA1_j2ahgkxc.xlsx]Bal Sheet - Standardized!R37C34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7" s="3"/>
      </tp>
      <tp>
        <v>30</v>
        <stp/>
        <stp>##V3_BDHV12</stp>
        <stp>AMZN US Equity</stp>
        <stp>CF_NET_INC</stp>
        <stp>FQ3 2005</stp>
        <stp>FQ3 2005</stp>
        <stp>[FA1_j2ahgkxc.xlsx]Cash Flow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4"/>
      </tp>
      <tp>
        <v>52</v>
        <stp/>
        <stp>##V3_BDHV12</stp>
        <stp>AMZN US Equity</stp>
        <stp>CF_NET_INC</stp>
        <stp>FQ2 2005</stp>
        <stp>FQ2 2005</stp>
        <stp>[FA1_j2ahgkxc.xlsx]Cash Flow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4"/>
      </tp>
      <tp>
        <v>558</v>
        <stp/>
        <stp>##V3_BDHV12</stp>
        <stp>AMZN US Equity</stp>
        <stp>OTHER_CURRENT_LIABS_SUB_DETAILED</stp>
        <stp>FQ4 2005</stp>
        <stp>FQ4 2005</stp>
        <stp>[FA1_j2ahgkxc.xlsx]Bal Sheet - Standardized!R37C30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7" s="3"/>
      </tp>
      <tp>
        <v>78</v>
        <stp/>
        <stp>##V3_BDHV12</stp>
        <stp>AMZN US Equity</stp>
        <stp>CF_NET_INC</stp>
        <stp>FQ1 2005</stp>
        <stp>FQ1 2005</stp>
        <stp>[FA1_j2ahgkxc.xlsx]Cash Flow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4"/>
      </tp>
      <tp>
        <v>76.48</v>
        <stp/>
        <stp>##V3_BDHV12</stp>
        <stp>AMZN US Equity</stp>
        <stp>CF_NET_INC</stp>
        <stp>FQ2 2004</stp>
        <stp>FQ2 2004</stp>
        <stp>[FA1_j2ahgkxc.xlsx]Cash Flow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4"/>
      </tp>
      <tp>
        <v>54.146999999999998</v>
        <stp/>
        <stp>##V3_BDHV12</stp>
        <stp>AMZN US Equity</stp>
        <stp>CF_NET_INC</stp>
        <stp>FQ3 2004</stp>
        <stp>FQ3 2004</stp>
        <stp>[FA1_j2ahgkxc.xlsx]Cash Flow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4"/>
      </tp>
      <tp>
        <v>73.153999999999996</v>
        <stp/>
        <stp>##V3_BDHV12</stp>
        <stp>AMZN US Equity</stp>
        <stp>CF_NET_INC</stp>
        <stp>FQ4 2003</stp>
        <stp>FQ4 2003</stp>
        <stp>[FA1_j2ahgkxc.xlsx]Cash Flow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4"/>
      </tp>
      <tp>
        <v>860</v>
        <stp/>
        <stp>##V3_BDHV12</stp>
        <stp>AMZN US Equity</stp>
        <stp>OTHER_CURRENT_LIABS_SUB_DETAILED</stp>
        <stp>FQ3 2008</stp>
        <stp>FQ3 2008</stp>
        <stp>[FA1_j2ahgkxc.xlsx]Bal Sheet - Standardized!R37C41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7" s="3"/>
      </tp>
      <tp>
        <v>111.136</v>
        <stp/>
        <stp>##V3_BDHV12</stp>
        <stp>AMZN US Equity</stp>
        <stp>CF_NET_INC</stp>
        <stp>FQ1 2004</stp>
        <stp>FQ1 2004</stp>
        <stp>[FA1_j2ahgkxc.xlsx]Cash Flow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4"/>
      </tp>
      <tp>
        <v>346.68799999999999</v>
        <stp/>
        <stp>##V3_BDHV12</stp>
        <stp>AMZN US Equity</stp>
        <stp>CF_NET_INC</stp>
        <stp>FQ4 2004</stp>
        <stp>FQ4 2004</stp>
        <stp>[FA1_j2ahgkxc.xlsx]Cash Flow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4"/>
      </tp>
      <tp>
        <v>15.563000000000001</v>
        <stp/>
        <stp>##V3_BDHV12</stp>
        <stp>AMZN US Equity</stp>
        <stp>CF_NET_INC</stp>
        <stp>FQ3 2003</stp>
        <stp>FQ3 2003</stp>
        <stp>[FA1_j2ahgkxc.xlsx]Cash Flow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4"/>
      </tp>
      <tp>
        <v>-43.314</v>
        <stp/>
        <stp>##V3_BDHV12</stp>
        <stp>AMZN US Equity</stp>
        <stp>CF_NET_INC</stp>
        <stp>FQ2 2003</stp>
        <stp>FQ2 2003</stp>
        <stp>[FA1_j2ahgkxc.xlsx]Cash Flow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4"/>
      </tp>
      <tp>
        <v>876</v>
        <stp/>
        <stp>##V3_BDHV12</stp>
        <stp>AMZN US Equity</stp>
        <stp>OTHER_CURRENT_LIABS_SUB_DETAILED</stp>
        <stp>FQ4 2007</stp>
        <stp>FQ4 2007</stp>
        <stp>[FA1_j2ahgkxc.xlsx]Bal Sheet - Standardized!R37C38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7" s="3"/>
      </tp>
      <tp t="s">
        <v>—</v>
        <stp/>
        <stp>##V3_BDHV12</stp>
        <stp>AMZN US Equity</stp>
        <stp>CF_CHANGE_IN_INVENTORIES</stp>
        <stp>FQ2 2001</stp>
        <stp>FQ2 2001</stp>
        <stp>[FA1_j2ahgkxc.xlsx]Cash Flow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4"/>
      </tp>
      <tp>
        <v>72</v>
        <stp/>
        <stp>##V3_BDHV12</stp>
        <stp>AMZN US Equity</stp>
        <stp>CF_CHANGE_IN_INVENTORIES</stp>
        <stp>FQ1 2005</stp>
        <stp>FQ1 2005</stp>
        <stp>[FA1_j2ahgkxc.xlsx]Cash Flow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4"/>
      </tp>
      <tp t="s">
        <v>—</v>
        <stp/>
        <stp>##V3_BDHV12</stp>
        <stp>AMZN US Equity</stp>
        <stp>CF_CHANGE_IN_INVENTORIES</stp>
        <stp>FQ2 2002</stp>
        <stp>FQ2 2002</stp>
        <stp>[FA1_j2ahgkxc.xlsx]Cash Flow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4"/>
      </tp>
      <tp>
        <v>13.17</v>
        <stp/>
        <stp>##V3_BDHV12</stp>
        <stp>AMZN US Equity</stp>
        <stp>CF_CHANGE_IN_INVENTORIES</stp>
        <stp>FQ1 2004</stp>
        <stp>FQ1 2004</stp>
        <stp>[FA1_j2ahgkxc.xlsx]Cash Flow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4"/>
      </tp>
      <tp>
        <v>-61.667000000000002</v>
        <stp/>
        <stp>##V3_BDHV12</stp>
        <stp>AMZN US Equity</stp>
        <stp>PRETAX_INC</stp>
        <stp>FQ1 1999</stp>
        <stp>FQ1 1999</stp>
        <stp>[FA1_j2ahgkxc.xlsx]Income - Adjusted!R20C4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0" s="2"/>
      </tp>
      <tp>
        <v>-197.08</v>
        <stp/>
        <stp>##V3_BDHV12</stp>
        <stp>AMZN US Equity</stp>
        <stp>PRETAX_INC</stp>
        <stp>FQ3 1999</stp>
        <stp>FQ3 1999</stp>
        <stp>[FA1_j2ahgkxc.xlsx]Income - Adjusted!R20C6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0" s="2"/>
      </tp>
      <tp>
        <v>-1074</v>
        <stp/>
        <stp>##V3_BDHV12</stp>
        <stp>AMZN US Equity</stp>
        <stp>BS_PURE_RETAINED_EARNINGS</stp>
        <stp>FQ2 2008</stp>
        <stp>FQ2 2008</stp>
        <stp>[FA1_j2ahgkxc.xlsx]Bal Sheet - Standardized!R50C40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0" s="3"/>
      </tp>
      <tp>
        <v>-2974.4279999999999</v>
        <stp/>
        <stp>##V3_BDHV12</stp>
        <stp>AMZN US Equity</stp>
        <stp>BS_PURE_RETAINED_EARNINGS</stp>
        <stp>FQ4 2003</stp>
        <stp>FQ4 2003</stp>
        <stp>[FA1_j2ahgkxc.xlsx]Bal Sheet - Standardized!R50C22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0" s="3"/>
      </tp>
      <tp>
        <v>-2385.9771000000001</v>
        <stp/>
        <stp>##V3_BDHV12</stp>
        <stp>AMZN US Equity</stp>
        <stp>BS_PURE_RETAINED_EARNINGS</stp>
        <stp>FQ4 2004</stp>
        <stp>FQ4 2004</stp>
        <stp>[FA1_j2ahgkxc.xlsx]Bal Sheet - Standardized!R50C26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0" s="3"/>
      </tp>
      <tp>
        <v>140.5428</v>
        <stp/>
        <stp>##V3_BDHV12</stp>
        <stp>AMZN US Equity</stp>
        <stp>CASH_FLOW_TO_NET_INC</stp>
        <stp>FQ4 2002</stp>
        <stp>FQ4 2002</stp>
        <stp>[FA1_j2ahgkxc.xlsx]Cash Flow - Standardized!R54C18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54" s="4"/>
      </tp>
      <tp t="s">
        <v>—</v>
        <stp/>
        <stp>##V3_BDHV12</stp>
        <stp>AMZN US Equity</stp>
        <stp>CASH_FLOW_TO_NET_INC</stp>
        <stp>FQ2 2002</stp>
        <stp>FQ2 2002</stp>
        <stp>[FA1_j2ahgkxc.xlsx]Cash Flow - Standardized!R54C16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54" s="4"/>
      </tp>
      <tp t="s">
        <v>—</v>
        <stp/>
        <stp>##V3_BDHV12</stp>
        <stp>AMZN US Equity</stp>
        <stp>CASH_FLOW_TO_NET_INC</stp>
        <stp>FQ3 2002</stp>
        <stp>FQ3 2002</stp>
        <stp>[FA1_j2ahgkxc.xlsx]Cash Flow - Standardized!R54C17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54" s="4"/>
      </tp>
      <tp t="s">
        <v>—</v>
        <stp/>
        <stp>##V3_BDHV12</stp>
        <stp>AMZN US Equity</stp>
        <stp>CASH_FLOW_TO_NET_INC</stp>
        <stp>FQ1 2002</stp>
        <stp>FQ1 2002</stp>
        <stp>[FA1_j2ahgkxc.xlsx]Cash Flow - Standardized!R54C15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54" s="4"/>
      </tp>
      <tp>
        <v>35.651000000000003</v>
        <stp/>
        <stp>##V3_BDHV12</stp>
        <stp>AMZN US Equity</stp>
        <stp>IS_INT_EXPENSE</stp>
        <stp>FQ2 2002</stp>
        <stp>FQ2 2002</stp>
        <stp>[FA1_j2ahgkxc.xlsx]Income - Adjusted!R14C16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4" s="2"/>
      </tp>
      <tp>
        <v>19</v>
        <stp/>
        <stp>##V3_BDHV12</stp>
        <stp>AMZN US Equity</stp>
        <stp>IS_INT_EXPENSE</stp>
        <stp>FQ2 2006</stp>
        <stp>FQ2 2006</stp>
        <stp>[FA1_j2ahgkxc.xlsx]Income - Adjusted!R14C32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4" s="2"/>
      </tp>
      <tp>
        <v>420</v>
        <stp/>
        <stp>##V3_BDHV12</stp>
        <stp>AMZN US Equity</stp>
        <stp>IS_SH_FOR_DILUTED_EPS</stp>
        <stp>FQ1 2007</stp>
        <stp>FQ1 2007</stp>
        <stp>[FA1_j2ahgkxc.xlsx]Per Share!R7C35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5"/>
      </tp>
      <tp>
        <v>423</v>
        <stp/>
        <stp>##V3_BDHV12</stp>
        <stp>AMZN US Equity</stp>
        <stp>IS_SH_FOR_DILUTED_EPS</stp>
        <stp>FQ2 2007</stp>
        <stp>FQ2 2007</stp>
        <stp>[FA1_j2ahgkxc.xlsx]Per Share!R7C36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5"/>
      </tp>
      <tp>
        <v>425</v>
        <stp/>
        <stp>##V3_BDHV12</stp>
        <stp>AMZN US Equity</stp>
        <stp>IS_SH_FOR_DILUTED_EPS</stp>
        <stp>FQ3 2007</stp>
        <stp>FQ3 2007</stp>
        <stp>[FA1_j2ahgkxc.xlsx]Per Share!R7C37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5"/>
      </tp>
      <tp>
        <v>-0.55000000000000004</v>
        <stp/>
        <stp>##V3_BDHV12</stp>
        <stp>AMZN US Equity</stp>
        <stp>IS_BASIC_EPS_CONT_OPS</stp>
        <stp>FQ4 1999</stp>
        <stp>FQ4 1999</stp>
        <stp>[FA1_j2ahgkxc.xlsx]Per Share!R16C7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6" s="5"/>
      </tp>
      <tp>
        <v>423</v>
        <stp/>
        <stp>##V3_BDHV12</stp>
        <stp>AMZN US Equity</stp>
        <stp>IS_SH_FOR_DILUTED_EPS</stp>
        <stp>FQ1 2005</stp>
        <stp>FQ1 2005</stp>
        <stp>[FA1_j2ahgkxc.xlsx]Per Share!R7C27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5"/>
      </tp>
      <tp>
        <v>410</v>
        <stp/>
        <stp>##V3_BDHV12</stp>
        <stp>AMZN US Equity</stp>
        <stp>IS_AVG_NUM_SH_FOR_EPS</stp>
        <stp>FQ1 2005</stp>
        <stp>FQ1 2005</stp>
        <stp>[FA1_j2ahgkxc.xlsx]Per Share!R8C27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5"/>
      </tp>
      <tp t="s">
        <v>—</v>
        <stp/>
        <stp>##V3_BDHV12</stp>
        <stp>AMZN US Equity</stp>
        <stp>PX_TO_FREE_CASH_FLOW</stp>
        <stp>FQ4 1999</stp>
        <stp>FQ4 1999</stp>
        <stp>[FA1_j2ahgkxc.xlsx]Cash Flow - Standardized!R53C6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3" s="4"/>
      </tp>
      <tp>
        <v>414</v>
        <stp/>
        <stp>##V3_BDHV12</stp>
        <stp>AMZN US Equity</stp>
        <stp>IS_AVG_NUM_SH_FOR_EPS</stp>
        <stp>FQ3 2007</stp>
        <stp>FQ3 2007</stp>
        <stp>[FA1_j2ahgkxc.xlsx]Per Share!R8C37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5"/>
      </tp>
      <tp>
        <v>412</v>
        <stp/>
        <stp>##V3_BDHV12</stp>
        <stp>AMZN US Equity</stp>
        <stp>IS_AVG_NUM_SH_FOR_EPS</stp>
        <stp>FQ2 2007</stp>
        <stp>FQ2 2007</stp>
        <stp>[FA1_j2ahgkxc.xlsx]Per Share!R8C36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5"/>
      </tp>
      <tp>
        <v>412</v>
        <stp/>
        <stp>##V3_BDHV12</stp>
        <stp>AMZN US Equity</stp>
        <stp>IS_AVG_NUM_SH_FOR_EPS</stp>
        <stp>FQ1 2007</stp>
        <stp>FQ1 2007</stp>
        <stp>[FA1_j2ahgkxc.xlsx]Per Share!R8C35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5"/>
      </tp>
      <tp t="s">
        <v>—</v>
        <stp/>
        <stp>##V3_BDHV12</stp>
        <stp>AMZN US Equity</stp>
        <stp>PX_TO_FREE_CASH_FLOW</stp>
        <stp>FQ1 1999</stp>
        <stp>FQ1 1999</stp>
        <stp>[FA1_j2ahgkxc.xlsx]Cash Flow - Standardized!R53C3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3" s="4"/>
      </tp>
      <tp t="s">
        <v>—</v>
        <stp/>
        <stp>##V3_BDHV12</stp>
        <stp>AMZN US Equity</stp>
        <stp>CASH_CONVERSION_CYCLE</stp>
        <stp>FQ2 2003</stp>
        <stp>FQ2 2003</stp>
        <stp>[FA1_j2ahgkxc.xlsx]Bal Sheet - Standardized!R69C20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69" s="3"/>
      </tp>
      <tp t="s">
        <v>—</v>
        <stp/>
        <stp>##V3_BDHV12</stp>
        <stp>AMZN US Equity</stp>
        <stp>CASH_CONVERSION_CYCLE</stp>
        <stp>FQ1 2003</stp>
        <stp>FQ1 2003</stp>
        <stp>[FA1_j2ahgkxc.xlsx]Bal Sheet - Standardized!R69C19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69" s="3"/>
      </tp>
      <tp t="s">
        <v>—</v>
        <stp/>
        <stp>##V3_BDHV12</stp>
        <stp>AMZN US Equity</stp>
        <stp>CASH_CONVERSION_CYCLE</stp>
        <stp>FQ3 2003</stp>
        <stp>FQ3 2003</stp>
        <stp>[FA1_j2ahgkxc.xlsx]Bal Sheet - Standardized!R69C21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69" s="3"/>
      </tp>
      <tp t="s">
        <v>—</v>
        <stp/>
        <stp>##V3_BDHV12</stp>
        <stp>AMZN US Equity</stp>
        <stp>CASH_CONVERSION_CYCLE</stp>
        <stp>FQ4 2003</stp>
        <stp>FQ4 2003</stp>
        <stp>[FA1_j2ahgkxc.xlsx]Bal Sheet - Standardized!R69C22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69" s="3"/>
      </tp>
      <tp>
        <v>476.286</v>
        <stp/>
        <stp>##V3_BDHV12</stp>
        <stp>AMZN US Equity</stp>
        <stp>OTHER_CURRENT_LIABS_SUB_DETAILED</stp>
        <stp>FQ4 2004</stp>
        <stp>FQ4 2004</stp>
        <stp>[FA1_j2ahgkxc.xlsx]Bal Sheet - Standardized!R37C26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7" s="3"/>
      </tp>
      <tp>
        <v>207</v>
        <stp/>
        <stp>##V3_BDHV12</stp>
        <stp>AMZN US Equity</stp>
        <stp>CF_NET_INC</stp>
        <stp>FQ4 2007</stp>
        <stp>FQ4 2007</stp>
        <stp>[FA1_j2ahgkxc.xlsx]Cash Flow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4"/>
      </tp>
      <tp>
        <v>428.67410000000001</v>
        <stp/>
        <stp>##V3_BDHV12</stp>
        <stp>AMZN US Equity</stp>
        <stp>OTHER_CURRENT_LIABS_SUB_DETAILED</stp>
        <stp>FQ4 2003</stp>
        <stp>FQ4 2003</stp>
        <stp>[FA1_j2ahgkxc.xlsx]Bal Sheet - Standardized!R37C22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7" s="3"/>
      </tp>
      <tp>
        <v>143</v>
        <stp/>
        <stp>##V3_BDHV12</stp>
        <stp>AMZN US Equity</stp>
        <stp>CF_NET_INC</stp>
        <stp>FQ1 2008</stp>
        <stp>FQ1 2008</stp>
        <stp>[FA1_j2ahgkxc.xlsx]Cash Flow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4"/>
      </tp>
      <tp>
        <v>80</v>
        <stp/>
        <stp>##V3_BDHV12</stp>
        <stp>AMZN US Equity</stp>
        <stp>CF_NET_INC</stp>
        <stp>FQ3 2007</stp>
        <stp>FQ3 2007</stp>
        <stp>[FA1_j2ahgkxc.xlsx]Cash Flow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4"/>
      </tp>
      <tp>
        <v>78</v>
        <stp/>
        <stp>##V3_BDHV12</stp>
        <stp>AMZN US Equity</stp>
        <stp>CF_NET_INC</stp>
        <stp>FQ2 2007</stp>
        <stp>FQ2 2007</stp>
        <stp>[FA1_j2ahgkxc.xlsx]Cash Flow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4"/>
      </tp>
      <tp>
        <v>111</v>
        <stp/>
        <stp>##V3_BDHV12</stp>
        <stp>AMZN US Equity</stp>
        <stp>CF_NET_INC</stp>
        <stp>FQ1 2007</stp>
        <stp>FQ1 2007</stp>
        <stp>[FA1_j2ahgkxc.xlsx]Cash Flow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4"/>
      </tp>
      <tp>
        <v>199</v>
        <stp/>
        <stp>##V3_BDHV12</stp>
        <stp>AMZN US Equity</stp>
        <stp>CF_NET_INC</stp>
        <stp>FQ4 2005</stp>
        <stp>FQ4 2005</stp>
        <stp>[FA1_j2ahgkxc.xlsx]Cash Flow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4"/>
      </tp>
      <tp>
        <v>812</v>
        <stp/>
        <stp>##V3_BDHV12</stp>
        <stp>AMZN US Equity</stp>
        <stp>OTHER_CURRENT_LIABS_SUB_DETAILED</stp>
        <stp>FQ2 2008</stp>
        <stp>FQ2 2008</stp>
        <stp>[FA1_j2ahgkxc.xlsx]Bal Sheet - Standardized!R37C40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7" s="3"/>
      </tp>
      <tp>
        <v>22</v>
        <stp/>
        <stp>##V3_BDHV12</stp>
        <stp>AMZN US Equity</stp>
        <stp>CF_NET_INC</stp>
        <stp>FQ2 2006</stp>
        <stp>FQ2 2006</stp>
        <stp>[FA1_j2ahgkxc.xlsx]Cash Flow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4"/>
      </tp>
      <tp>
        <v>19</v>
        <stp/>
        <stp>##V3_BDHV12</stp>
        <stp>AMZN US Equity</stp>
        <stp>CF_NET_INC</stp>
        <stp>FQ3 2006</stp>
        <stp>FQ3 2006</stp>
        <stp>[FA1_j2ahgkxc.xlsx]Cash Flow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4"/>
      </tp>
      <tp>
        <v>51</v>
        <stp/>
        <stp>##V3_BDHV12</stp>
        <stp>AMZN US Equity</stp>
        <stp>CF_NET_INC</stp>
        <stp>FQ1 2006</stp>
        <stp>FQ1 2006</stp>
        <stp>[FA1_j2ahgkxc.xlsx]Cash Flow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4"/>
      </tp>
      <tp>
        <v>98</v>
        <stp/>
        <stp>##V3_BDHV12</stp>
        <stp>AMZN US Equity</stp>
        <stp>CF_NET_INC</stp>
        <stp>FQ4 2006</stp>
        <stp>FQ4 2006</stp>
        <stp>[FA1_j2ahgkxc.xlsx]Cash Flow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4"/>
      </tp>
      <tp>
        <v>148</v>
        <stp/>
        <stp>##V3_BDHV12</stp>
        <stp>AMZN US Equity</stp>
        <stp>CF_CHANGE_IN_INVENTORIES</stp>
        <stp>FQ1 2008</stp>
        <stp>FQ1 2008</stp>
        <stp>[FA1_j2ahgkxc.xlsx]Cash Flow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4"/>
      </tp>
      <tp>
        <v>-308.42500000000001</v>
        <stp/>
        <stp>##V3_BDHV12</stp>
        <stp>AMZN US Equity</stp>
        <stp>NET_INCOME</stp>
        <stp>FQ1 2000</stp>
        <stp>FQ1 2000</stp>
        <stp>[FA1_j2ahgkxc.xlsx]Income - Adjusted!R26C8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6" s="2"/>
      </tp>
      <tp>
        <v>-0.65900000000000003</v>
        <stp/>
        <stp>##V3_BDHV12</stp>
        <stp>AMZN US Equity</stp>
        <stp>CF_CHANGE_IN_INVENTORIES</stp>
        <stp>FQ3 2001</stp>
        <stp>FQ3 2001</stp>
        <stp>[FA1_j2ahgkxc.xlsx]Cash Flow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4"/>
      </tp>
      <tp>
        <v>126</v>
        <stp/>
        <stp>##V3_BDHV12</stp>
        <stp>AMZN US Equity</stp>
        <stp>CF_CHANGE_IN_INVENTORIES</stp>
        <stp>FQ1 2007</stp>
        <stp>FQ1 2007</stp>
        <stp>[FA1_j2ahgkxc.xlsx]Cash Flow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4"/>
      </tp>
      <tp t="s">
        <v>—</v>
        <stp/>
        <stp>##V3_BDHV12</stp>
        <stp>AMZN US Equity</stp>
        <stp>CF_CHANGE_IN_INVENTORIES</stp>
        <stp>FQ3 2002</stp>
        <stp>FQ3 2002</stp>
        <stp>[FA1_j2ahgkxc.xlsx]Cash Flow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4"/>
      </tp>
      <tp>
        <v>-1375</v>
        <stp/>
        <stp>##V3_BDHV12</stp>
        <stp>AMZN US Equity</stp>
        <stp>BS_PURE_RETAINED_EARNINGS</stp>
        <stp>FQ4 2007</stp>
        <stp>FQ4 2007</stp>
        <stp>[FA1_j2ahgkxc.xlsx]Bal Sheet - Standardized!R50C38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0" s="3"/>
      </tp>
      <tp>
        <v>33</v>
        <stp/>
        <stp>##V3_BDHV12</stp>
        <stp>AMZN US Equity</stp>
        <stp>CF_CHANGE_IN_INVENTORIES</stp>
        <stp>FQ1 2006</stp>
        <stp>FQ1 2006</stp>
        <stp>[FA1_j2ahgkxc.xlsx]Cash Flow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4"/>
      </tp>
      <tp>
        <v>-955</v>
        <stp/>
        <stp>##V3_BDHV12</stp>
        <stp>AMZN US Equity</stp>
        <stp>BS_PURE_RETAINED_EARNINGS</stp>
        <stp>FQ3 2008</stp>
        <stp>FQ3 2008</stp>
        <stp>[FA1_j2ahgkxc.xlsx]Bal Sheet - Standardized!R50C41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0" s="3"/>
      </tp>
      <tp>
        <v>-1837</v>
        <stp/>
        <stp>##V3_BDHV12</stp>
        <stp>AMZN US Equity</stp>
        <stp>BS_PURE_RETAINED_EARNINGS</stp>
        <stp>FQ4 2006</stp>
        <stp>FQ4 2006</stp>
        <stp>[FA1_j2ahgkxc.xlsx]Bal Sheet - Standardized!R50C34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0" s="3"/>
      </tp>
      <tp>
        <v>-2027</v>
        <stp/>
        <stp>##V3_BDHV12</stp>
        <stp>AMZN US Equity</stp>
        <stp>BS_PURE_RETAINED_EARNINGS</stp>
        <stp>FQ4 2005</stp>
        <stp>FQ4 2005</stp>
        <stp>[FA1_j2ahgkxc.xlsx]Bal Sheet - Standardized!R50C30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0" s="3"/>
      </tp>
      <tp>
        <v>0</v>
        <stp/>
        <stp>##V3_BDHV12</stp>
        <stp>AMZN US Equity</stp>
        <stp>INVTRY_IN_PROGRESS</stp>
        <stp>FQ1 2000</stp>
        <stp>FQ1 2000</stp>
        <stp>[FA1_j2ahgkxc.xlsx]Bal Sheet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0</v>
        <stp/>
        <stp>##V3_BDHV12</stp>
        <stp>AMZN US Equity</stp>
        <stp>INVTRY_IN_PROGRESS</stp>
        <stp>FQ3 2000</stp>
        <stp>FQ3 2000</stp>
        <stp>[FA1_j2ahgkxc.xlsx]Bal Sheet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6.5747</v>
        <stp/>
        <stp>##V3_BDHV12</stp>
        <stp>AMZN US Equity</stp>
        <stp>CASH_FLOW_TO_NET_INC</stp>
        <stp>FQ4 2003</stp>
        <stp>FQ4 2003</stp>
        <stp>[FA1_j2ahgkxc.xlsx]Cash Flow - Standardized!R54C22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54" s="4"/>
      </tp>
      <tp>
        <v>2.3656999999999999</v>
        <stp/>
        <stp>##V3_BDHV12</stp>
        <stp>AMZN US Equity</stp>
        <stp>CASH_FLOW_TO_NET_INC</stp>
        <stp>FQ3 2003</stp>
        <stp>FQ3 2003</stp>
        <stp>[FA1_j2ahgkxc.xlsx]Cash Flow - Standardized!R54C21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54" s="4"/>
      </tp>
      <tp t="s">
        <v>—</v>
        <stp/>
        <stp>##V3_BDHV12</stp>
        <stp>AMZN US Equity</stp>
        <stp>CASH_FLOW_TO_NET_INC</stp>
        <stp>FQ2 2003</stp>
        <stp>FQ2 2003</stp>
        <stp>[FA1_j2ahgkxc.xlsx]Cash Flow - Standardized!R54C20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54" s="4"/>
      </tp>
      <tp t="s">
        <v>—</v>
        <stp/>
        <stp>##V3_BDHV12</stp>
        <stp>AMZN US Equity</stp>
        <stp>CASH_FLOW_TO_NET_INC</stp>
        <stp>FQ1 2003</stp>
        <stp>FQ1 2003</stp>
        <stp>[FA1_j2ahgkxc.xlsx]Cash Flow - Standardized!R54C19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54" s="4"/>
      </tp>
      <tp>
        <v>22</v>
        <stp/>
        <stp>##V3_BDHV12</stp>
        <stp>AMZN US Equity</stp>
        <stp>IS_INT_EXPENSE</stp>
        <stp>FQ4 2005</stp>
        <stp>FQ4 2005</stp>
        <stp>[FA1_j2ahgkxc.xlsx]Income - Adjusted!R14C30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4" s="2"/>
      </tp>
      <tp>
        <v>35.29</v>
        <stp/>
        <stp>##V3_BDHV12</stp>
        <stp>AMZN US Equity</stp>
        <stp>IS_INT_EXPENSE</stp>
        <stp>FQ4 2001</stp>
        <stp>FQ4 2001</stp>
        <stp>[FA1_j2ahgkxc.xlsx]Income - Adjusted!R14C14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4" s="2"/>
      </tp>
      <tp>
        <v>35.921999999999997</v>
        <stp/>
        <stp>##V3_BDHV12</stp>
        <stp>AMZN US Equity</stp>
        <stp>IS_INT_EXPENSE</stp>
        <stp>FQ3 2002</stp>
        <stp>FQ3 2002</stp>
        <stp>[FA1_j2ahgkxc.xlsx]Income - Adjusted!R14C17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4" s="2"/>
      </tp>
      <tp>
        <v>21</v>
        <stp/>
        <stp>##V3_BDHV12</stp>
        <stp>AMZN US Equity</stp>
        <stp>IS_INT_EXPENSE</stp>
        <stp>FQ3 2006</stp>
        <stp>FQ3 2006</stp>
        <stp>[FA1_j2ahgkxc.xlsx]Income - Adjusted!R14C33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4" s="2"/>
      </tp>
      <tp>
        <v>31214.04</v>
        <stp/>
        <stp>##V3_BDHV12</stp>
        <stp>AMZN US Equity</stp>
        <stp>HISTORICAL_MARKET_CAP</stp>
        <stp>FQ3 2008</stp>
        <stp>FQ3 2008</stp>
        <stp>[FA1_j2ahgkxc.xlsx]Stock Value!R12C41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6"/>
      </tp>
      <tp>
        <v>31238.58</v>
        <stp/>
        <stp>##V3_BDHV12</stp>
        <stp>AMZN US Equity</stp>
        <stp>HISTORICAL_MARKET_CAP</stp>
        <stp>FQ2 2008</stp>
        <stp>FQ2 2008</stp>
        <stp>[FA1_j2ahgkxc.xlsx]Stock Value!R12C40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6"/>
      </tp>
      <tp>
        <v>21947.84</v>
        <stp/>
        <stp>##V3_BDHV12</stp>
        <stp>AMZN US Equity</stp>
        <stp>HISTORICAL_MARKET_CAP</stp>
        <stp>FQ4 2008</stp>
        <stp>FQ4 2008</stp>
        <stp>[FA1_j2ahgkxc.xlsx]Stock Value!R12C42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6"/>
      </tp>
      <tp>
        <v>424.77699999999999</v>
        <stp/>
        <stp>##V3_BDHV12</stp>
        <stp>AMZN US Equity</stp>
        <stp>IS_SH_FOR_DILUTED_EPS</stp>
        <stp>FQ3 2004</stp>
        <stp>FQ3 2004</stp>
        <stp>[FA1_j2ahgkxc.xlsx]Per Share!R7C25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5"/>
      </tp>
      <tp>
        <v>424.678</v>
        <stp/>
        <stp>##V3_BDHV12</stp>
        <stp>AMZN US Equity</stp>
        <stp>IS_SH_FOR_DILUTED_EPS</stp>
        <stp>FQ2 2004</stp>
        <stp>FQ2 2004</stp>
        <stp>[FA1_j2ahgkxc.xlsx]Per Share!R7C24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5"/>
      </tp>
      <tp>
        <v>405.26799999999997</v>
        <stp/>
        <stp>##V3_BDHV12</stp>
        <stp>AMZN US Equity</stp>
        <stp>IS_AVG_NUM_SH_FOR_EPS</stp>
        <stp>FQ2 2004</stp>
        <stp>FQ2 2004</stp>
        <stp>[FA1_j2ahgkxc.xlsx]Per Share!R8C24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5"/>
      </tp>
      <tp>
        <v>406.64699999999999</v>
        <stp/>
        <stp>##V3_BDHV12</stp>
        <stp>AMZN US Equity</stp>
        <stp>IS_AVG_NUM_SH_FOR_EPS</stp>
        <stp>FQ3 2004</stp>
        <stp>FQ3 2004</stp>
        <stp>[FA1_j2ahgkxc.xlsx]Per Share!R8C25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5"/>
      </tp>
      <tp t="s">
        <v>—</v>
        <stp/>
        <stp>##V3_BDHV12</stp>
        <stp>AMZN US Equity</stp>
        <stp>CASH_CONVERSION_CYCLE</stp>
        <stp>FQ3 2002</stp>
        <stp>FQ3 2002</stp>
        <stp>[FA1_j2ahgkxc.xlsx]Bal Sheet - Standardized!R69C17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69" s="3"/>
      </tp>
      <tp t="s">
        <v>—</v>
        <stp/>
        <stp>##V3_BDHV12</stp>
        <stp>AMZN US Equity</stp>
        <stp>CASH_CONVERSION_CYCLE</stp>
        <stp>FQ2 2002</stp>
        <stp>FQ2 2002</stp>
        <stp>[FA1_j2ahgkxc.xlsx]Bal Sheet - Standardized!R69C16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69" s="3"/>
      </tp>
      <tp t="s">
        <v>—</v>
        <stp/>
        <stp>##V3_BDHV12</stp>
        <stp>AMZN US Equity</stp>
        <stp>CASH_CONVERSION_CYCLE</stp>
        <stp>FQ1 2002</stp>
        <stp>FQ1 2002</stp>
        <stp>[FA1_j2ahgkxc.xlsx]Bal Sheet - Standardized!R69C15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69" s="3"/>
      </tp>
      <tp t="s">
        <v>—</v>
        <stp/>
        <stp>##V3_BDHV12</stp>
        <stp>AMZN US Equity</stp>
        <stp>CASH_CONVERSION_CYCLE</stp>
        <stp>FQ4 2002</stp>
        <stp>FQ4 2002</stp>
        <stp>[FA1_j2ahgkxc.xlsx]Bal Sheet - Standardized!R69C18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69" s="3"/>
      </tp>
      <tp>
        <v>472</v>
        <stp/>
        <stp>##V3_BDHV12</stp>
        <stp>AMZN US Equity</stp>
        <stp>OTHER_CURRENT_LIABS_SUB_DETAILED</stp>
        <stp>FQ2 2006</stp>
        <stp>FQ2 2006</stp>
        <stp>[FA1_j2ahgkxc.xlsx]Bal Sheet - Standardized!R37C32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7" s="3"/>
      </tp>
      <tp>
        <v>359.274</v>
        <stp/>
        <stp>##V3_BDHV12</stp>
        <stp>AMZN US Equity</stp>
        <stp>OTHER_CURRENT_LIABS_SUB_DETAILED</stp>
        <stp>FQ3 2004</stp>
        <stp>FQ3 2004</stp>
        <stp>[FA1_j2ahgkxc.xlsx]Bal Sheet - Standardized!R37C25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7" s="3"/>
      </tp>
      <tp>
        <v>625</v>
        <stp/>
        <stp>##V3_BDHV12</stp>
        <stp>AMZN US Equity</stp>
        <stp>OTHER_CURRENT_LIABS_SUB_DETAILED</stp>
        <stp>FQ2 2007</stp>
        <stp>FQ2 2007</stp>
        <stp>[FA1_j2ahgkxc.xlsx]Bal Sheet - Standardized!R37C36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7" s="3"/>
      </tp>
      <tp>
        <v>321.50299999999999</v>
        <stp/>
        <stp>##V3_BDHV12</stp>
        <stp>AMZN US Equity</stp>
        <stp>OTHER_CURRENT_LIABS_SUB_DETAILED</stp>
        <stp>FQ3 2003</stp>
        <stp>FQ3 2003</stp>
        <stp>[FA1_j2ahgkxc.xlsx]Bal Sheet - Standardized!R37C21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7" s="3"/>
      </tp>
      <tp>
        <v>225</v>
        <stp/>
        <stp>##V3_BDHV12</stp>
        <stp>AMZN US Equity</stp>
        <stp>CF_NET_INC</stp>
        <stp>FQ4 2008</stp>
        <stp>FQ4 2008</stp>
        <stp>[FA1_j2ahgkxc.xlsx]Cash Flow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4"/>
      </tp>
      <tp>
        <v>420</v>
        <stp/>
        <stp>##V3_BDHV12</stp>
        <stp>AMZN US Equity</stp>
        <stp>OTHER_CURRENT_LIABS_SUB_DETAILED</stp>
        <stp>FQ3 2005</stp>
        <stp>FQ3 2005</stp>
        <stp>[FA1_j2ahgkxc.xlsx]Bal Sheet - Standardized!R37C29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7" s="3"/>
      </tp>
      <tp>
        <v>158</v>
        <stp/>
        <stp>##V3_BDHV12</stp>
        <stp>AMZN US Equity</stp>
        <stp>CF_NET_INC</stp>
        <stp>FQ2 2008</stp>
        <stp>FQ2 2008</stp>
        <stp>[FA1_j2ahgkxc.xlsx]Cash Flow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4"/>
      </tp>
      <tp>
        <v>118</v>
        <stp/>
        <stp>##V3_BDHV12</stp>
        <stp>AMZN US Equity</stp>
        <stp>CF_NET_INC</stp>
        <stp>FQ3 2008</stp>
        <stp>FQ3 2008</stp>
        <stp>[FA1_j2ahgkxc.xlsx]Cash Flow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4"/>
      </tp>
      <tp t="s">
        <v>—</v>
        <stp/>
        <stp>##V3_BDHV12</stp>
        <stp>AMZN US Equity</stp>
        <stp>CF_CHANGE_IN_INVENTORIES</stp>
        <stp>FQ4 2001</stp>
        <stp>FQ4 2001</stp>
        <stp>[FA1_j2ahgkxc.xlsx]Cash Flow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4"/>
      </tp>
      <tp>
        <v>-2256</v>
        <stp/>
        <stp>##V3_BDHV12</stp>
        <stp>AMZN US Equity</stp>
        <stp>BS_PURE_RETAINED_EARNINGS</stp>
        <stp>FQ2 2005</stp>
        <stp>FQ2 2005</stp>
        <stp>[FA1_j2ahgkxc.xlsx]Bal Sheet - Standardized!R50C28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0" s="3"/>
      </tp>
      <tp>
        <v>-730</v>
        <stp/>
        <stp>##V3_BDHV12</stp>
        <stp>AMZN US Equity</stp>
        <stp>BS_PURE_RETAINED_EARNINGS</stp>
        <stp>FQ4 2008</stp>
        <stp>FQ4 2008</stp>
        <stp>[FA1_j2ahgkxc.xlsx]Bal Sheet - Standardized!R50C42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0" s="3"/>
      </tp>
      <tp t="s">
        <v>—</v>
        <stp/>
        <stp>##V3_BDHV12</stp>
        <stp>AMZN US Equity</stp>
        <stp>CF_CHANGE_IN_INVENTORIES</stp>
        <stp>FQ4 2000</stp>
        <stp>FQ4 2000</stp>
        <stp>[FA1_j2ahgkxc.xlsx]Cash Flow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4"/>
      </tp>
      <tp>
        <v>-3019.8310999999999</v>
        <stp/>
        <stp>##V3_BDHV12</stp>
        <stp>AMZN US Equity</stp>
        <stp>BS_PURE_RETAINED_EARNINGS</stp>
        <stp>FQ1 2003</stp>
        <stp>FQ1 2003</stp>
        <stp>[FA1_j2ahgkxc.xlsx]Bal Sheet - Standardized!R50C19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0" s="3"/>
      </tp>
      <tp>
        <v>-323.21300000000002</v>
        <stp/>
        <stp>##V3_BDHV12</stp>
        <stp>AMZN US Equity</stp>
        <stp>PRETAX_INC</stp>
        <stp>FQ4 1999</stp>
        <stp>FQ4 1999</stp>
        <stp>[FA1_j2ahgkxc.xlsx]Income - Adjusted!R20C7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0" s="2"/>
      </tp>
      <tp>
        <v>-1934</v>
        <stp/>
        <stp>##V3_BDHV12</stp>
        <stp>AMZN US Equity</stp>
        <stp>BS_PURE_RETAINED_EARNINGS</stp>
        <stp>FQ3 2006</stp>
        <stp>FQ3 2006</stp>
        <stp>[FA1_j2ahgkxc.xlsx]Bal Sheet - Standardized!R50C33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0" s="3"/>
      </tp>
      <tp t="s">
        <v>—</v>
        <stp/>
        <stp>##V3_BDHV12</stp>
        <stp>AMZN US Equity</stp>
        <stp>BS_PURE_RETAINED_EARNINGS</stp>
        <stp>FQ1 2002</stp>
        <stp>FQ1 2002</stp>
        <stp>[FA1_j2ahgkxc.xlsx]Bal Sheet - Standardized!R50C15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0" s="3"/>
      </tp>
      <tp t="s">
        <v>—</v>
        <stp/>
        <stp>##V3_BDHV12</stp>
        <stp>AMZN US Equity</stp>
        <stp>BS_PURE_RETAINED_EARNINGS</stp>
        <stp>FQ1 2001</stp>
        <stp>FQ1 2001</stp>
        <stp>[FA1_j2ahgkxc.xlsx]Bal Sheet - Standardized!R50C11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0" s="3"/>
      </tp>
      <tp>
        <v>-3063.145</v>
        <stp/>
        <stp>##V3_BDHV12</stp>
        <stp>AMZN US Equity</stp>
        <stp>BS_PURE_RETAINED_EARNINGS</stp>
        <stp>FQ2 2003</stp>
        <stp>FQ2 2003</stp>
        <stp>[FA1_j2ahgkxc.xlsx]Bal Sheet - Standardized!R50C20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0" s="3"/>
      </tp>
      <tp t="s">
        <v>—</v>
        <stp/>
        <stp>##V3_BDHV12</stp>
        <stp>AMZN US Equity</stp>
        <stp>CF_CHANGE_IN_INVENTORIES</stp>
        <stp>FQ4 2002</stp>
        <stp>FQ4 2002</stp>
        <stp>[FA1_j2ahgkxc.xlsx]Cash Flow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4"/>
      </tp>
      <tp>
        <v>-1581</v>
        <stp/>
        <stp>##V3_BDHV12</stp>
        <stp>AMZN US Equity</stp>
        <stp>BS_PURE_RETAINED_EARNINGS</stp>
        <stp>FQ3 2007</stp>
        <stp>FQ3 2007</stp>
        <stp>[FA1_j2ahgkxc.xlsx]Bal Sheet - Standardized!R50C37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0" s="3"/>
      </tp>
      <tp>
        <v>-2786.8101000000001</v>
        <stp/>
        <stp>##V3_BDHV12</stp>
        <stp>AMZN US Equity</stp>
        <stp>BS_PURE_RETAINED_EARNINGS</stp>
        <stp>FQ2 2004</stp>
        <stp>FQ2 2004</stp>
        <stp>[FA1_j2ahgkxc.xlsx]Bal Sheet - Standardized!R50C24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0" s="3"/>
      </tp>
      <tp>
        <v>1.6082999999999998</v>
        <stp/>
        <stp>##V3_BDHV12</stp>
        <stp>AMZN US Equity</stp>
        <stp>CASH_FLOW_TO_NET_INC</stp>
        <stp>FQ4 2004</stp>
        <stp>FQ4 2004</stp>
        <stp>[FA1_j2ahgkxc.xlsx]Cash Flow - Standardized!R54C26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54" s="4"/>
      </tp>
      <tp>
        <v>-2.2557</v>
        <stp/>
        <stp>##V3_BDHV12</stp>
        <stp>AMZN US Equity</stp>
        <stp>CASH_FLOW_TO_NET_INC</stp>
        <stp>FQ1 2004</stp>
        <stp>FQ1 2004</stp>
        <stp>[FA1_j2ahgkxc.xlsx]Cash Flow - Standardized!R54C23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54" s="4"/>
      </tp>
      <tp>
        <v>2.1541999999999999</v>
        <stp/>
        <stp>##V3_BDHV12</stp>
        <stp>AMZN US Equity</stp>
        <stp>CASH_FLOW_TO_NET_INC</stp>
        <stp>FQ3 2004</stp>
        <stp>FQ3 2004</stp>
        <stp>[FA1_j2ahgkxc.xlsx]Cash Flow - Standardized!R54C25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54" s="4"/>
      </tp>
      <tp>
        <v>1.8702000000000001</v>
        <stp/>
        <stp>##V3_BDHV12</stp>
        <stp>AMZN US Equity</stp>
        <stp>CASH_FLOW_TO_NET_INC</stp>
        <stp>FQ2 2004</stp>
        <stp>FQ2 2004</stp>
        <stp>[FA1_j2ahgkxc.xlsx]Cash Flow - Standardized!R54C24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54" s="4"/>
      </tp>
      <tp>
        <v>17</v>
        <stp/>
        <stp>##V3_BDHV12</stp>
        <stp>AMZN US Equity</stp>
        <stp>IS_INT_EXPENSE</stp>
        <stp>FQ4 2006</stp>
        <stp>FQ4 2006</stp>
        <stp>[FA1_j2ahgkxc.xlsx]Income - Adjusted!R14C34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4" s="2"/>
      </tp>
      <tp>
        <v>27.134</v>
        <stp/>
        <stp>##V3_BDHV12</stp>
        <stp>AMZN US Equity</stp>
        <stp>IS_INT_EXPENSE</stp>
        <stp>FQ4 2004</stp>
        <stp>FQ4 2004</stp>
        <stp>[FA1_j2ahgkxc.xlsx]Income - Adjusted!R14C26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4" s="2"/>
      </tp>
      <tp>
        <v>35.045999999999999</v>
        <stp/>
        <stp>##V3_BDHV12</stp>
        <stp>AMZN US Equity</stp>
        <stp>IS_INT_EXPENSE</stp>
        <stp>FQ3 2001</stp>
        <stp>FQ3 2001</stp>
        <stp>[FA1_j2ahgkxc.xlsx]Income - Adjusted!R14C13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4" s="2"/>
      </tp>
      <tp>
        <v>29.802</v>
        <stp/>
        <stp>##V3_BDHV12</stp>
        <stp>AMZN US Equity</stp>
        <stp>IS_INT_EXPENSE</stp>
        <stp>FQ3 2003</stp>
        <stp>FQ3 2003</stp>
        <stp>[FA1_j2ahgkxc.xlsx]Income - Adjusted!R14C21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4" s="2"/>
      </tp>
      <tp>
        <v>19</v>
        <stp/>
        <stp>##V3_BDHV12</stp>
        <stp>AMZN US Equity</stp>
        <stp>IS_INT_EXPENSE</stp>
        <stp>FQ1 2007</stp>
        <stp>FQ1 2007</stp>
        <stp>[FA1_j2ahgkxc.xlsx]Income - Adjusted!R14C35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4" s="2"/>
      </tp>
      <tp>
        <v>26</v>
        <stp/>
        <stp>##V3_BDHV12</stp>
        <stp>AMZN US Equity</stp>
        <stp>IS_INT_EXPENSE</stp>
        <stp>FQ1 2005</stp>
        <stp>FQ1 2005</stp>
        <stp>[FA1_j2ahgkxc.xlsx]Income - Adjusted!R14C27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4" s="2"/>
      </tp>
      <tp>
        <v>29732.1</v>
        <stp/>
        <stp>##V3_BDHV12</stp>
        <stp>AMZN US Equity</stp>
        <stp>HISTORICAL_MARKET_CAP</stp>
        <stp>FQ1 2008</stp>
        <stp>FQ1 2008</stp>
        <stp>[FA1_j2ahgkxc.xlsx]Stock Value!R12C39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6"/>
      </tp>
      <tp>
        <v>39927.839999999997</v>
        <stp/>
        <stp>##V3_BDHV12</stp>
        <stp>AMZN US Equity</stp>
        <stp>HISTORICAL_MARKET_CAP</stp>
        <stp>FQ4 2007</stp>
        <stp>FQ4 2007</stp>
        <stp>[FA1_j2ahgkxc.xlsx]Stock Value!R12C38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6"/>
      </tp>
      <tp>
        <v>16336.44</v>
        <stp/>
        <stp>##V3_BDHV12</stp>
        <stp>AMZN US Equity</stp>
        <stp>HISTORICAL_MARKET_CAP</stp>
        <stp>FQ4 2006</stp>
        <stp>FQ4 2006</stp>
        <stp>[FA1_j2ahgkxc.xlsx]Stock Value!R12C34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6"/>
      </tp>
      <tp>
        <v>13201.32</v>
        <stp/>
        <stp>##V3_BDHV12</stp>
        <stp>AMZN US Equity</stp>
        <stp>HISTORICAL_MARKET_CAP</stp>
        <stp>FQ3 2006</stp>
        <stp>FQ3 2006</stp>
        <stp>[FA1_j2ahgkxc.xlsx]Stock Value!R12C33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6"/>
      </tp>
      <tp>
        <v>16206.92</v>
        <stp/>
        <stp>##V3_BDHV12</stp>
        <stp>AMZN US Equity</stp>
        <stp>HISTORICAL_MARKET_CAP</stp>
        <stp>FQ2 2006</stp>
        <stp>FQ2 2006</stp>
        <stp>[FA1_j2ahgkxc.xlsx]Stock Value!R12C32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6"/>
      </tp>
      <tp>
        <v>15233.01</v>
        <stp/>
        <stp>##V3_BDHV12</stp>
        <stp>AMZN US Equity</stp>
        <stp>HISTORICAL_MARKET_CAP</stp>
        <stp>FQ1 2006</stp>
        <stp>FQ1 2006</stp>
        <stp>[FA1_j2ahgkxc.xlsx]Stock Value!R12C31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6"/>
      </tp>
      <tp>
        <v>425.214</v>
        <stp/>
        <stp>##V3_BDHV12</stp>
        <stp>AMZN US Equity</stp>
        <stp>IS_SH_FOR_DILUTED_EPS</stp>
        <stp>FQ4 2003</stp>
        <stp>FQ4 2003</stp>
        <stp>[FA1_j2ahgkxc.xlsx]Per Share!R7C22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5"/>
      </tp>
      <tp>
        <v>19614.400000000001</v>
        <stp/>
        <stp>##V3_BDHV12</stp>
        <stp>AMZN US Equity</stp>
        <stp>HISTORICAL_MARKET_CAP</stp>
        <stp>FQ4 2005</stp>
        <stp>FQ4 2005</stp>
        <stp>[FA1_j2ahgkxc.xlsx]Stock Value!R12C30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6"/>
      </tp>
      <tp>
        <v>28253.33</v>
        <stp/>
        <stp>##V3_BDHV12</stp>
        <stp>AMZN US Equity</stp>
        <stp>HISTORICAL_MARKET_CAP</stp>
        <stp>FQ2 2007</stp>
        <stp>FQ2 2007</stp>
        <stp>[FA1_j2ahgkxc.xlsx]Stock Value!R12C36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6"/>
      </tp>
      <tp>
        <v>38657.25</v>
        <stp/>
        <stp>##V3_BDHV12</stp>
        <stp>AMZN US Equity</stp>
        <stp>HISTORICAL_MARKET_CAP</stp>
        <stp>FQ3 2007</stp>
        <stp>FQ3 2007</stp>
        <stp>[FA1_j2ahgkxc.xlsx]Stock Value!R12C37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6"/>
      </tp>
      <tp>
        <v>16274.11</v>
        <stp/>
        <stp>##V3_BDHV12</stp>
        <stp>AMZN US Equity</stp>
        <stp>HISTORICAL_MARKET_CAP</stp>
        <stp>FQ1 2007</stp>
        <stp>FQ1 2007</stp>
        <stp>[FA1_j2ahgkxc.xlsx]Stock Value!R12C35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6"/>
      </tp>
      <tp>
        <v>-0.26</v>
        <stp/>
        <stp>##V3_BDHV12</stp>
        <stp>AMZN US Equity</stp>
        <stp>IS_BASIC_EPS_CONT_OPS</stp>
        <stp>FQ3 1999</stp>
        <stp>FQ3 1999</stp>
        <stp>[FA1_j2ahgkxc.xlsx]Per Share!R16C6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6" s="5"/>
      </tp>
      <tp>
        <v>-0.115</v>
        <stp/>
        <stp>##V3_BDHV12</stp>
        <stp>AMZN US Equity</stp>
        <stp>IS_BASIC_EPS_CONT_OPS</stp>
        <stp>FQ1 1999</stp>
        <stp>FQ1 1999</stp>
        <stp>[FA1_j2ahgkxc.xlsx]Per Share!R16C4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6" s="5"/>
      </tp>
      <tp>
        <v>401.42200000000003</v>
        <stp/>
        <stp>##V3_BDHV12</stp>
        <stp>AMZN US Equity</stp>
        <stp>IS_AVG_NUM_SH_FOR_EPS</stp>
        <stp>FQ4 2003</stp>
        <stp>FQ4 2003</stp>
        <stp>[FA1_j2ahgkxc.xlsx]Per Share!R8C22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5"/>
      </tp>
      <tp>
        <v>-13.991300000000001</v>
        <stp/>
        <stp>##V3_BDHV12</stp>
        <stp>AMZN US Equity</stp>
        <stp>CASH_CONVERSION_CYCLE</stp>
        <stp>FQ1 2005</stp>
        <stp>FQ1 2005</stp>
        <stp>[FA1_j2ahgkxc.xlsx]Bal Sheet - Standardized!R69C27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69" s="3"/>
      </tp>
      <tp>
        <v>-15.990500000000001</v>
        <stp/>
        <stp>##V3_BDHV12</stp>
        <stp>AMZN US Equity</stp>
        <stp>CASH_CONVERSION_CYCLE</stp>
        <stp>FQ2 2005</stp>
        <stp>FQ2 2005</stp>
        <stp>[FA1_j2ahgkxc.xlsx]Bal Sheet - Standardized!R69C28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69" s="3"/>
      </tp>
      <tp>
        <v>-17.331</v>
        <stp/>
        <stp>##V3_BDHV12</stp>
        <stp>AMZN US Equity</stp>
        <stp>CASH_CONVERSION_CYCLE</stp>
        <stp>FQ3 2005</stp>
        <stp>FQ3 2005</stp>
        <stp>[FA1_j2ahgkxc.xlsx]Bal Sheet - Standardized!R69C29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69" s="3"/>
      </tp>
      <tp>
        <v>-30.248699999999999</v>
        <stp/>
        <stp>##V3_BDHV12</stp>
        <stp>AMZN US Equity</stp>
        <stp>CASH_CONVERSION_CYCLE</stp>
        <stp>FQ4 2005</stp>
        <stp>FQ4 2005</stp>
        <stp>[FA1_j2ahgkxc.xlsx]Bal Sheet - Standardized!R69C30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69" s="3"/>
      </tp>
      <tp>
        <v>502</v>
        <stp/>
        <stp>##V3_BDHV12</stp>
        <stp>AMZN US Equity</stp>
        <stp>OTHER_CURRENT_LIABS_SUB_DETAILED</stp>
        <stp>FQ3 2006</stp>
        <stp>FQ3 2006</stp>
        <stp>[FA1_j2ahgkxc.xlsx]Bal Sheet - Standardized!R37C33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7" s="3"/>
      </tp>
      <tp>
        <v>328.45600000000002</v>
        <stp/>
        <stp>##V3_BDHV12</stp>
        <stp>AMZN US Equity</stp>
        <stp>OTHER_CURRENT_LIABS_SUB_DETAILED</stp>
        <stp>FQ1 2002</stp>
        <stp>FQ1 2002</stp>
        <stp>[FA1_j2ahgkxc.xlsx]Bal Sheet - Standardized!R37C15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7" s="3"/>
      </tp>
      <tp>
        <v>328.82799999999997</v>
        <stp/>
        <stp>##V3_BDHV12</stp>
        <stp>AMZN US Equity</stp>
        <stp>OTHER_CURRENT_LIABS_SUB_DETAILED</stp>
        <stp>FQ2 2004</stp>
        <stp>FQ2 2004</stp>
        <stp>[FA1_j2ahgkxc.xlsx]Bal Sheet - Standardized!R37C24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7" s="3"/>
      </tp>
      <tp>
        <v>645</v>
        <stp/>
        <stp>##V3_BDHV12</stp>
        <stp>AMZN US Equity</stp>
        <stp>OTHER_CURRENT_LIABS_SUB_DETAILED</stp>
        <stp>FQ3 2007</stp>
        <stp>FQ3 2007</stp>
        <stp>[FA1_j2ahgkxc.xlsx]Bal Sheet - Standardized!R37C37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7" s="3"/>
      </tp>
      <tp>
        <v>327.99400000000003</v>
        <stp/>
        <stp>##V3_BDHV12</stp>
        <stp>AMZN US Equity</stp>
        <stp>OTHER_CURRENT_LIABS_SUB_DETAILED</stp>
        <stp>FQ1 2001</stp>
        <stp>FQ1 2001</stp>
        <stp>[FA1_j2ahgkxc.xlsx]Bal Sheet - Standardized!R37C11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7" s="3"/>
      </tp>
      <tp>
        <v>316.14299999999997</v>
        <stp/>
        <stp>##V3_BDHV12</stp>
        <stp>AMZN US Equity</stp>
        <stp>OTHER_CURRENT_LIABS_SUB_DETAILED</stp>
        <stp>FQ2 2003</stp>
        <stp>FQ2 2003</stp>
        <stp>[FA1_j2ahgkxc.xlsx]Bal Sheet - Standardized!R37C20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7" s="3"/>
      </tp>
      <tp>
        <v>1021</v>
        <stp/>
        <stp>##V3_BDHV12</stp>
        <stp>AMZN US Equity</stp>
        <stp>OTHER_CURRENT_LIABS_SUB_DETAILED</stp>
        <stp>FQ4 2008</stp>
        <stp>FQ4 2008</stp>
        <stp>[FA1_j2ahgkxc.xlsx]Bal Sheet - Standardized!R37C42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7" s="3"/>
      </tp>
      <tp>
        <v>401</v>
        <stp/>
        <stp>##V3_BDHV12</stp>
        <stp>AMZN US Equity</stp>
        <stp>OTHER_CURRENT_LIABS_SUB_DETAILED</stp>
        <stp>FQ2 2005</stp>
        <stp>FQ2 2005</stp>
        <stp>[FA1_j2ahgkxc.xlsx]Bal Sheet - Standardized!R37C28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7" s="3"/>
      </tp>
      <tp>
        <v>293.80500000000001</v>
        <stp/>
        <stp>##V3_BDHV12</stp>
        <stp>AMZN US Equity</stp>
        <stp>OTHER_CURRENT_LIABS_SUB_DETAILED</stp>
        <stp>FQ1 2003</stp>
        <stp>FQ1 2003</stp>
        <stp>[FA1_j2ahgkxc.xlsx]Bal Sheet - Standardized!R37C19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7" s="3"/>
      </tp>
      <tp>
        <v>-2226</v>
        <stp/>
        <stp>##V3_BDHV12</stp>
        <stp>AMZN US Equity</stp>
        <stp>BS_PURE_RETAINED_EARNINGS</stp>
        <stp>FQ3 2005</stp>
        <stp>FQ3 2005</stp>
        <stp>[FA1_j2ahgkxc.xlsx]Bal Sheet - Standardized!R50C29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0" s="3"/>
      </tp>
      <tp>
        <v>-1953</v>
        <stp/>
        <stp>##V3_BDHV12</stp>
        <stp>AMZN US Equity</stp>
        <stp>BS_PURE_RETAINED_EARNINGS</stp>
        <stp>FQ2 2006</stp>
        <stp>FQ2 2006</stp>
        <stp>[FA1_j2ahgkxc.xlsx]Bal Sheet - Standardized!R50C32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0" s="3"/>
      </tp>
      <tp>
        <v>-3047.5819999999999</v>
        <stp/>
        <stp>##V3_BDHV12</stp>
        <stp>AMZN US Equity</stp>
        <stp>BS_PURE_RETAINED_EARNINGS</stp>
        <stp>FQ3 2003</stp>
        <stp>FQ3 2003</stp>
        <stp>[FA1_j2ahgkxc.xlsx]Bal Sheet - Standardized!R50C21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0" s="3"/>
      </tp>
      <tp>
        <v>637.85799999999995</v>
        <stp/>
        <stp>##V3_BDHV12</stp>
        <stp>AMZN US Equity</stp>
        <stp>SALES_REV_TURN</stp>
        <stp>FQ3 2000</stp>
        <stp>FQ3 2000</stp>
        <stp>[FA1_j2ahgkxc.xlsx]Income - Adjusted!R6C9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-1661</v>
        <stp/>
        <stp>##V3_BDHV12</stp>
        <stp>AMZN US Equity</stp>
        <stp>BS_PURE_RETAINED_EARNINGS</stp>
        <stp>FQ2 2007</stp>
        <stp>FQ2 2007</stp>
        <stp>[FA1_j2ahgkxc.xlsx]Bal Sheet - Standardized!R50C36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0" s="3"/>
      </tp>
      <tp>
        <v>-2732.6599000000001</v>
        <stp/>
        <stp>##V3_BDHV12</stp>
        <stp>AMZN US Equity</stp>
        <stp>BS_PURE_RETAINED_EARNINGS</stp>
        <stp>FQ3 2004</stp>
        <stp>FQ3 2004</stp>
        <stp>[FA1_j2ahgkxc.xlsx]Bal Sheet - Standardized!R50C25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0" s="3"/>
      </tp>
      <tp>
        <v>3.1657999999999999</v>
        <stp/>
        <stp>##V3_BDHV12</stp>
        <stp>AMZN US Equity</stp>
        <stp>CASH_FLOW_TO_NET_INC</stp>
        <stp>FQ4 2005</stp>
        <stp>FQ4 2005</stp>
        <stp>[FA1_j2ahgkxc.xlsx]Cash Flow - Standardized!R54C30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54" s="4"/>
      </tp>
      <tp>
        <v>-3.7692000000000001</v>
        <stp/>
        <stp>##V3_BDHV12</stp>
        <stp>AMZN US Equity</stp>
        <stp>CASH_FLOW_TO_NET_INC</stp>
        <stp>FQ1 2005</stp>
        <stp>FQ1 2005</stp>
        <stp>[FA1_j2ahgkxc.xlsx]Cash Flow - Standardized!R54C27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54" s="4"/>
      </tp>
      <tp>
        <v>5.0999999999999996</v>
        <stp/>
        <stp>##V3_BDHV12</stp>
        <stp>AMZN US Equity</stp>
        <stp>CASH_FLOW_TO_NET_INC</stp>
        <stp>FQ3 2005</stp>
        <stp>FQ3 2005</stp>
        <stp>[FA1_j2ahgkxc.xlsx]Cash Flow - Standardized!R54C29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54" s="4"/>
      </tp>
      <tp>
        <v>4.6923000000000004</v>
        <stp/>
        <stp>##V3_BDHV12</stp>
        <stp>AMZN US Equity</stp>
        <stp>CASH_FLOW_TO_NET_INC</stp>
        <stp>FQ2 2005</stp>
        <stp>FQ2 2005</stp>
        <stp>[FA1_j2ahgkxc.xlsx]Cash Flow - Standardized!R54C28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54" s="4"/>
      </tp>
      <tp>
        <v>295.38499999999999</v>
        <stp/>
        <stp>##V3_BDHV12</stp>
        <stp>AMZN US Equity</stp>
        <stp>OTHER_CURRENT_LIABS_SUB_DETAILED</stp>
        <stp>FQ1 2000</stp>
        <stp>FQ1 2000</stp>
        <stp>[FA1_j2ahgkxc.xlsx]Bal Sheet - Standardized!R37C8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3"/>
      </tp>
      <tp>
        <v>337.17500000000001</v>
        <stp/>
        <stp>##V3_BDHV12</stp>
        <stp>AMZN US Equity</stp>
        <stp>OTHER_CURRENT_LIABS_SUB_DETAILED</stp>
        <stp>FQ3 2000</stp>
        <stp>FQ3 2000</stp>
        <stp>[FA1_j2ahgkxc.xlsx]Bal Sheet - Standardized!R37C9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3"/>
      </tp>
      <tp>
        <v>34.366999999999997</v>
        <stp/>
        <stp>##V3_BDHV12</stp>
        <stp>AMZN US Equity</stp>
        <stp>IS_INT_EXPENSE</stp>
        <stp>FQ2 2003</stp>
        <stp>FQ2 2003</stp>
        <stp>[FA1_j2ahgkxc.xlsx]Income - Adjusted!R14C20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4" s="2"/>
      </tp>
      <tp>
        <v>35.148000000000003</v>
        <stp/>
        <stp>##V3_BDHV12</stp>
        <stp>AMZN US Equity</stp>
        <stp>IS_INT_EXPENSE</stp>
        <stp>FQ2 2001</stp>
        <stp>FQ2 2001</stp>
        <stp>[FA1_j2ahgkxc.xlsx]Income - Adjusted!R14C12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4" s="2"/>
      </tp>
      <tp>
        <v>21.359000000000002</v>
        <stp/>
        <stp>##V3_BDHV12</stp>
        <stp>AMZN US Equity</stp>
        <stp>PROC_FR_REPURCH_EQTY_DETAILED</stp>
        <stp>FQ1 2000</stp>
        <stp>FQ1 2000</stp>
        <stp>[FA1_j2ahgkxc.xlsx]Cash Flow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4"/>
      </tp>
      <tp>
        <v>13.794</v>
        <stp/>
        <stp>##V3_BDHV12</stp>
        <stp>AMZN US Equity</stp>
        <stp>PROC_FR_REPURCH_EQTY_DETAILED</stp>
        <stp>FQ2 2000</stp>
        <stp>FQ2 2000</stp>
        <stp>[FA1_j2ahgkxc.xlsx]Cash Flow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4"/>
      </tp>
      <tp>
        <v>4.5640000000000001</v>
        <stp/>
        <stp>##V3_BDHV12</stp>
        <stp>AMZN US Equity</stp>
        <stp>PROC_FR_REPURCH_EQTY_DETAILED</stp>
        <stp>FQ3 2000</stp>
        <stp>FQ3 2000</stp>
        <stp>[FA1_j2ahgkxc.xlsx]Cash Flow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4"/>
      </tp>
      <tp>
        <v>13633.08</v>
        <stp/>
        <stp>##V3_BDHV12</stp>
        <stp>AMZN US Equity</stp>
        <stp>HISTORICAL_MARKET_CAP</stp>
        <stp>FQ2 2005</stp>
        <stp>FQ2 2005</stp>
        <stp>[FA1_j2ahgkxc.xlsx]Stock Value!R12C28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6"/>
      </tp>
      <tp>
        <v>18754.2</v>
        <stp/>
        <stp>##V3_BDHV12</stp>
        <stp>AMZN US Equity</stp>
        <stp>HISTORICAL_MARKET_CAP</stp>
        <stp>FQ3 2005</stp>
        <stp>FQ3 2005</stp>
        <stp>[FA1_j2ahgkxc.xlsx]Stock Value!R12C29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6"/>
      </tp>
      <tp>
        <v>14409.234</v>
        <stp/>
        <stp>##V3_BDHV12</stp>
        <stp>AMZN US Equity</stp>
        <stp>HISTORICAL_MARKET_CAP</stp>
        <stp>FQ2 2003</stp>
        <stp>FQ2 2003</stp>
        <stp>[FA1_j2ahgkxc.xlsx]Stock Value!R12C20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6"/>
      </tp>
      <tp>
        <v>18146.1001</v>
        <stp/>
        <stp>##V3_BDHV12</stp>
        <stp>AMZN US Equity</stp>
        <stp>HISTORICAL_MARKET_CAP</stp>
        <stp>FQ4 2004</stp>
        <stp>FQ4 2004</stp>
        <stp>[FA1_j2ahgkxc.xlsx]Stock Value!R12C26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6"/>
      </tp>
      <tp>
        <v>19392.437300000001</v>
        <stp/>
        <stp>##V3_BDHV12</stp>
        <stp>AMZN US Equity</stp>
        <stp>HISTORICAL_MARKET_CAP</stp>
        <stp>FQ3 2003</stp>
        <stp>FQ3 2003</stp>
        <stp>[FA1_j2ahgkxc.xlsx]Stock Value!R12C21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6"/>
      </tp>
      <tp>
        <v>17523.812900000001</v>
        <stp/>
        <stp>##V3_BDHV12</stp>
        <stp>AMZN US Equity</stp>
        <stp>HISTORICAL_MARKET_CAP</stp>
        <stp>FQ1 2004</stp>
        <stp>FQ1 2004</stp>
        <stp>[FA1_j2ahgkxc.xlsx]Stock Value!R12C23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6"/>
      </tp>
      <tp>
        <v>355.68099999999998</v>
        <stp/>
        <stp>##V3_BDHV12</stp>
        <stp>AMZN US Equity</stp>
        <stp>IS_SH_FOR_DILUTED_EPS</stp>
        <stp>FQ4 2000</stp>
        <stp>FQ4 2000</stp>
        <stp>[FA1_j2ahgkxc.xlsx]Per Share!R7C10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5"/>
      </tp>
      <tp>
        <v>14084.97</v>
        <stp/>
        <stp>##V3_BDHV12</stp>
        <stp>AMZN US Equity</stp>
        <stp>HISTORICAL_MARKET_CAP</stp>
        <stp>FQ1 2005</stp>
        <stp>FQ1 2005</stp>
        <stp>[FA1_j2ahgkxc.xlsx]Stock Value!R12C27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6"/>
      </tp>
      <tp>
        <v>16648.978599999999</v>
        <stp/>
        <stp>##V3_BDHV12</stp>
        <stp>AMZN US Equity</stp>
        <stp>HISTORICAL_MARKET_CAP</stp>
        <stp>FQ3 2004</stp>
        <stp>FQ3 2004</stp>
        <stp>[FA1_j2ahgkxc.xlsx]Stock Value!R12C25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6"/>
      </tp>
      <tp>
        <v>21224.487700000001</v>
        <stp/>
        <stp>##V3_BDHV12</stp>
        <stp>AMZN US Equity</stp>
        <stp>HISTORICAL_MARKET_CAP</stp>
        <stp>FQ4 2003</stp>
        <stp>FQ4 2003</stp>
        <stp>[FA1_j2ahgkxc.xlsx]Stock Value!R12C22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6"/>
      </tp>
      <tp>
        <v>22125.078300000001</v>
        <stp/>
        <stp>##V3_BDHV12</stp>
        <stp>AMZN US Equity</stp>
        <stp>HISTORICAL_MARKET_CAP</stp>
        <stp>FQ2 2004</stp>
        <stp>FQ2 2004</stp>
        <stp>[FA1_j2ahgkxc.xlsx]Stock Value!R12C24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6"/>
      </tp>
      <tp>
        <v>355.68099999999998</v>
        <stp/>
        <stp>##V3_BDHV12</stp>
        <stp>AMZN US Equity</stp>
        <stp>IS_AVG_NUM_SH_FOR_EPS</stp>
        <stp>FQ4 2000</stp>
        <stp>FQ4 2000</stp>
        <stp>[FA1_j2ahgkxc.xlsx]Per Share!R8C10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5"/>
      </tp>
      <tp t="s">
        <v>—</v>
        <stp/>
        <stp>##V3_BDHV12</stp>
        <stp>AMZN US Equity</stp>
        <stp>CASH_CONVERSION_CYCLE</stp>
        <stp>FQ1 2004</stp>
        <stp>FQ1 2004</stp>
        <stp>[FA1_j2ahgkxc.xlsx]Bal Sheet - Standardized!R69C23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69" s="3"/>
      </tp>
      <tp t="s">
        <v>—</v>
        <stp/>
        <stp>##V3_BDHV12</stp>
        <stp>AMZN US Equity</stp>
        <stp>CASH_CONVERSION_CYCLE</stp>
        <stp>FQ2 2004</stp>
        <stp>FQ2 2004</stp>
        <stp>[FA1_j2ahgkxc.xlsx]Bal Sheet - Standardized!R69C24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69" s="3"/>
      </tp>
      <tp t="s">
        <v>—</v>
        <stp/>
        <stp>##V3_BDHV12</stp>
        <stp>AMZN US Equity</stp>
        <stp>CASH_CONVERSION_CYCLE</stp>
        <stp>FQ3 2004</stp>
        <stp>FQ3 2004</stp>
        <stp>[FA1_j2ahgkxc.xlsx]Bal Sheet - Standardized!R69C25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69" s="3"/>
      </tp>
      <tp>
        <v>-33.327300000000001</v>
        <stp/>
        <stp>##V3_BDHV12</stp>
        <stp>AMZN US Equity</stp>
        <stp>CASH_CONVERSION_CYCLE</stp>
        <stp>FQ4 2004</stp>
        <stp>FQ4 2004</stp>
        <stp>[FA1_j2ahgkxc.xlsx]Bal Sheet - Standardized!R69C26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69" s="3"/>
      </tp>
      <tp t="s">
        <v>—</v>
        <stp/>
        <stp>##V3_BDHV12</stp>
        <stp>AMZN US Equity</stp>
        <stp>BS_GOODWILL</stp>
        <stp>FQ1 2000</stp>
        <stp>FQ1 2000</stp>
        <stp>[FA1_j2ahgkxc.xlsx]Bal Sheet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3"/>
      </tp>
      <tp t="s">
        <v>—</v>
        <stp/>
        <stp>##V3_BDHV12</stp>
        <stp>AMZN US Equity</stp>
        <stp>BS_GOODWILL</stp>
        <stp>FQ3 2000</stp>
        <stp>FQ3 2000</stp>
        <stp>[FA1_j2ahgkxc.xlsx]Bal Sheet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3"/>
      </tp>
      <tp>
        <v>295.875</v>
        <stp/>
        <stp>##V3_BDHV12</stp>
        <stp>AMZN US Equity</stp>
        <stp>OTHER_CURRENT_LIABS_SUB_DETAILED</stp>
        <stp>FQ1 2004</stp>
        <stp>FQ1 2004</stp>
        <stp>[FA1_j2ahgkxc.xlsx]Bal Sheet - Standardized!R37C23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7" s="3"/>
      </tp>
      <tp>
        <v>349.75799999999998</v>
        <stp/>
        <stp>##V3_BDHV12</stp>
        <stp>AMZN US Equity</stp>
        <stp>OTHER_CURRENT_LIABS_SUB_DETAILED</stp>
        <stp>FQ2 2002</stp>
        <stp>FQ2 2002</stp>
        <stp>[FA1_j2ahgkxc.xlsx]Bal Sheet - Standardized!R37C16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7" s="3"/>
      </tp>
      <tp>
        <v>367</v>
        <stp/>
        <stp>##V3_BDHV12</stp>
        <stp>AMZN US Equity</stp>
        <stp>OTHER_CURRENT_LIABS_SUB_DETAILED</stp>
        <stp>FQ1 2005</stp>
        <stp>FQ1 2005</stp>
        <stp>[FA1_j2ahgkxc.xlsx]Bal Sheet - Standardized!R37C27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7" s="3"/>
      </tp>
      <tp>
        <v>371.92700000000002</v>
        <stp/>
        <stp>##V3_BDHV12</stp>
        <stp>AMZN US Equity</stp>
        <stp>OTHER_CURRENT_LIABS_SUB_DETAILED</stp>
        <stp>FQ2 2001</stp>
        <stp>FQ2 2001</stp>
        <stp>[FA1_j2ahgkxc.xlsx]Bal Sheet - Standardized!R37C12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7" s="3"/>
      </tp>
      <tp t="s">
        <v>—</v>
        <stp/>
        <stp>##V3_BDHV12</stp>
        <stp>AMZN US Equity</stp>
        <stp>SHORT_TERM_DEBT_DETAILED</stp>
        <stp>FQ3 2000</stp>
        <stp>FQ3 2000</stp>
        <stp>[FA1_j2ahgkxc.xlsx]Bal Sheet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3"/>
      </tp>
      <tp t="s">
        <v>—</v>
        <stp/>
        <stp>##V3_BDHV12</stp>
        <stp>AMZN US Equity</stp>
        <stp>SHORT_TERM_DEBT_DETAILED</stp>
        <stp>FQ1 2000</stp>
        <stp>FQ1 2000</stp>
        <stp>[FA1_j2ahgkxc.xlsx]Bal Sheet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3"/>
      </tp>
      <tp>
        <v>-113</v>
        <stp/>
        <stp>##V3_BDHV12</stp>
        <stp>AMZN US Equity</stp>
        <stp>CF_CHANGE_IN_INVENTORIES</stp>
        <stp>FQ4 2005</stp>
        <stp>FQ4 2005</stp>
        <stp>[FA1_j2ahgkxc.xlsx]Cash Flow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4"/>
      </tp>
      <tp>
        <v>-127</v>
        <stp/>
        <stp>##V3_BDHV12</stp>
        <stp>AMZN US Equity</stp>
        <stp>CF_CHANGE_IN_INVENTORIES</stp>
        <stp>FQ4 2006</stp>
        <stp>FQ4 2006</stp>
        <stp>[FA1_j2ahgkxc.xlsx]Cash Flow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4"/>
      </tp>
      <tp>
        <v>-243</v>
        <stp/>
        <stp>##V3_BDHV12</stp>
        <stp>AMZN US Equity</stp>
        <stp>CF_CHANGE_IN_INVENTORIES</stp>
        <stp>FQ3 2008</stp>
        <stp>FQ3 2008</stp>
        <stp>[FA1_j2ahgkxc.xlsx]Cash Flow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4"/>
      </tp>
      <tp>
        <v>-1976</v>
        <stp/>
        <stp>##V3_BDHV12</stp>
        <stp>AMZN US Equity</stp>
        <stp>BS_PURE_RETAINED_EARNINGS</stp>
        <stp>FQ1 2006</stp>
        <stp>FQ1 2006</stp>
        <stp>[FA1_j2ahgkxc.xlsx]Bal Sheet - Standardized!R50C31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0" s="3"/>
      </tp>
      <tp>
        <v>-231</v>
        <stp/>
        <stp>##V3_BDHV12</stp>
        <stp>AMZN US Equity</stp>
        <stp>CF_CHANGE_IN_INVENTORIES</stp>
        <stp>FQ4 2007</stp>
        <stp>FQ4 2007</stp>
        <stp>[FA1_j2ahgkxc.xlsx]Cash Flow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4"/>
      </tp>
      <tp t="s">
        <v>—</v>
        <stp/>
        <stp>##V3_BDHV12</stp>
        <stp>AMZN US Equity</stp>
        <stp>BS_PURE_RETAINED_EARNINGS</stp>
        <stp>FQ3 2002</stp>
        <stp>FQ3 2002</stp>
        <stp>[FA1_j2ahgkxc.xlsx]Bal Sheet - Standardized!R50C17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0" s="3"/>
      </tp>
      <tp>
        <v>-2865.665</v>
        <stp/>
        <stp>##V3_BDHV12</stp>
        <stp>AMZN US Equity</stp>
        <stp>BS_PURE_RETAINED_EARNINGS</stp>
        <stp>FQ3 2001</stp>
        <stp>FQ3 2001</stp>
        <stp>[FA1_j2ahgkxc.xlsx]Bal Sheet - Standardized!R50C13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0" s="3"/>
      </tp>
      <tp>
        <v>-1232</v>
        <stp/>
        <stp>##V3_BDHV12</stp>
        <stp>AMZN US Equity</stp>
        <stp>BS_PURE_RETAINED_EARNINGS</stp>
        <stp>FQ1 2008</stp>
        <stp>FQ1 2008</stp>
        <stp>[FA1_j2ahgkxc.xlsx]Bal Sheet - Standardized!R50C39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0" s="3"/>
      </tp>
      <tp>
        <v>-1740</v>
        <stp/>
        <stp>##V3_BDHV12</stp>
        <stp>AMZN US Equity</stp>
        <stp>BS_PURE_RETAINED_EARNINGS</stp>
        <stp>FQ1 2007</stp>
        <stp>FQ1 2007</stp>
        <stp>[FA1_j2ahgkxc.xlsx]Bal Sheet - Standardized!R50C35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0" s="3"/>
      </tp>
      <tp>
        <v>573.88900000000001</v>
        <stp/>
        <stp>##V3_BDHV12</stp>
        <stp>AMZN US Equity</stp>
        <stp>SALES_REV_TURN</stp>
        <stp>FQ1 2000</stp>
        <stp>FQ1 2000</stp>
        <stp>[FA1_j2ahgkxc.xlsx]Income - Adjusted!R6C8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>
        <v>7.6020000000000003</v>
        <stp/>
        <stp>##V3_BDHV12</stp>
        <stp>AMZN US Equity</stp>
        <stp>CASH_FLOW_TO_NET_INC</stp>
        <stp>FQ4 2006</stp>
        <stp>FQ4 2006</stp>
        <stp>[FA1_j2ahgkxc.xlsx]Cash Flow - Standardized!R54C34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54" s="4"/>
      </tp>
      <tp>
        <v>-5.9412000000000003</v>
        <stp/>
        <stp>##V3_BDHV12</stp>
        <stp>AMZN US Equity</stp>
        <stp>CASH_FLOW_TO_NET_INC</stp>
        <stp>FQ1 2006</stp>
        <stp>FQ1 2006</stp>
        <stp>[FA1_j2ahgkxc.xlsx]Cash Flow - Standardized!R54C31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54" s="4"/>
      </tp>
      <tp>
        <v>5.9091000000000005</v>
        <stp/>
        <stp>##V3_BDHV12</stp>
        <stp>AMZN US Equity</stp>
        <stp>CASH_FLOW_TO_NET_INC</stp>
        <stp>FQ2 2006</stp>
        <stp>FQ2 2006</stp>
        <stp>[FA1_j2ahgkxc.xlsx]Cash Flow - Standardized!R54C32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54" s="4"/>
      </tp>
      <tp>
        <v>6.8421000000000003</v>
        <stp/>
        <stp>##V3_BDHV12</stp>
        <stp>AMZN US Equity</stp>
        <stp>CASH_FLOW_TO_NET_INC</stp>
        <stp>FQ3 2006</stp>
        <stp>FQ3 2006</stp>
        <stp>[FA1_j2ahgkxc.xlsx]Cash Flow - Standardized!R54C33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54" s="4"/>
      </tp>
      <tp>
        <v>255.797</v>
        <stp/>
        <stp>##V3_BDHV12</stp>
        <stp>AMZN US Equity</stp>
        <stp>ACCT_PAYABLE_&amp;_ACCRUALS_DETAILED</stp>
        <stp>FQ1 2000</stp>
        <stp>FQ1 2000</stp>
        <stp>[FA1_j2ahgkxc.xlsx]Bal Sheet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3"/>
      </tp>
      <tp>
        <v>304.709</v>
        <stp/>
        <stp>##V3_BDHV12</stp>
        <stp>AMZN US Equity</stp>
        <stp>ACCT_PAYABLE_&amp;_ACCRUALS_DETAILED</stp>
        <stp>FQ3 2000</stp>
        <stp>FQ3 2000</stp>
        <stp>[FA1_j2ahgkxc.xlsx]Bal Sheet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3"/>
      </tp>
      <tp>
        <v>36.094000000000001</v>
        <stp/>
        <stp>##V3_BDHV12</stp>
        <stp>AMZN US Equity</stp>
        <stp>IS_INT_EXPENSE</stp>
        <stp>FQ4 2000</stp>
        <stp>FQ4 2000</stp>
        <stp>[FA1_j2ahgkxc.xlsx]Income - Adjusted!R14C10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>
        <v>26.055</v>
        <stp/>
        <stp>##V3_BDHV12</stp>
        <stp>AMZN US Equity</stp>
        <stp>IS_INT_EXPENSE</stp>
        <stp>FQ2 2004</stp>
        <stp>FQ2 2004</stp>
        <stp>[FA1_j2ahgkxc.xlsx]Income - Adjusted!R14C24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4" s="2"/>
      </tp>
      <tp>
        <v>19</v>
        <stp/>
        <stp>##V3_BDHV12</stp>
        <stp>AMZN US Equity</stp>
        <stp>IS_INT_EXPENSE</stp>
        <stp>FQ3 2007</stp>
        <stp>FQ3 2007</stp>
        <stp>[FA1_j2ahgkxc.xlsx]Income - Adjusted!R14C37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4" s="2"/>
      </tp>
      <tp>
        <v>33.747999999999998</v>
        <stp/>
        <stp>##V3_BDHV12</stp>
        <stp>AMZN US Equity</stp>
        <stp>IS_INT_EXPENSE</stp>
        <stp>FQ1 2001</stp>
        <stp>FQ1 2001</stp>
        <stp>[FA1_j2ahgkxc.xlsx]Income - Adjusted!R14C11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7.9960000000000004</v>
        <stp/>
        <stp>##V3_BDHV12</stp>
        <stp>AMZN US Equity</stp>
        <stp>CF_ACT_CASH_PAID_FOR_INT_DEBT</stp>
        <stp>FQ2 2000</stp>
        <stp>FQ2 2000</stp>
        <stp>[FA1_j2ahgkxc.xlsx]Cash Flow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4"/>
      </tp>
      <tp>
        <v>33.64</v>
        <stp/>
        <stp>##V3_BDHV12</stp>
        <stp>AMZN US Equity</stp>
        <stp>CF_ACT_CASH_PAID_FOR_INT_DEBT</stp>
        <stp>FQ3 2000</stp>
        <stp>FQ3 2000</stp>
        <stp>[FA1_j2ahgkxc.xlsx]Cash Flow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4"/>
      </tp>
      <tp>
        <v>35.835000000000001</v>
        <stp/>
        <stp>##V3_BDHV12</stp>
        <stp>AMZN US Equity</stp>
        <stp>CF_ACT_CASH_PAID_FOR_INT_DEBT</stp>
        <stp>FQ1 2000</stp>
        <stp>FQ1 2000</stp>
        <stp>[FA1_j2ahgkxc.xlsx]Cash Flow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4"/>
      </tp>
      <tp>
        <v>10193.5825</v>
        <stp/>
        <stp>##V3_BDHV12</stp>
        <stp>AMZN US Equity</stp>
        <stp>HISTORICAL_MARKET_CAP</stp>
        <stp>FQ1 2003</stp>
        <stp>FQ1 2003</stp>
        <stp>[FA1_j2ahgkxc.xlsx]Stock Value!R12C19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6"/>
      </tp>
      <tp>
        <v>7327.5445</v>
        <stp/>
        <stp>##V3_BDHV12</stp>
        <stp>AMZN US Equity</stp>
        <stp>HISTORICAL_MARKET_CAP</stp>
        <stp>FQ4 2002</stp>
        <stp>FQ4 2002</stp>
        <stp>[FA1_j2ahgkxc.xlsx]Stock Value!R12C18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6"/>
      </tp>
      <tp>
        <v>3671.0047</v>
        <stp/>
        <stp>##V3_BDHV12</stp>
        <stp>AMZN US Equity</stp>
        <stp>HISTORICAL_MARKET_CAP</stp>
        <stp>FQ1 2001</stp>
        <stp>FQ1 2001</stp>
        <stp>[FA1_j2ahgkxc.xlsx]Stock Value!R12C11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6"/>
      </tp>
      <tp>
        <v>5125.0028000000002</v>
        <stp/>
        <stp>##V3_BDHV12</stp>
        <stp>AMZN US Equity</stp>
        <stp>HISTORICAL_MARKET_CAP</stp>
        <stp>FQ2 2001</stp>
        <stp>FQ2 2001</stp>
        <stp>[FA1_j2ahgkxc.xlsx]Stock Value!R12C12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6"/>
      </tp>
      <tp>
        <v>2219.4430000000002</v>
        <stp/>
        <stp>##V3_BDHV12</stp>
        <stp>AMZN US Equity</stp>
        <stp>HISTORICAL_MARKET_CAP</stp>
        <stp>FQ3 2001</stp>
        <stp>FQ3 2001</stp>
        <stp>[FA1_j2ahgkxc.xlsx]Stock Value!R12C13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6"/>
      </tp>
      <tp>
        <v>4038.2186000000002</v>
        <stp/>
        <stp>##V3_BDHV12</stp>
        <stp>AMZN US Equity</stp>
        <stp>HISTORICAL_MARKET_CAP</stp>
        <stp>FQ4 2001</stp>
        <stp>FQ4 2001</stp>
        <stp>[FA1_j2ahgkxc.xlsx]Stock Value!R12C14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6"/>
      </tp>
      <tp>
        <v>6072.7709000000004</v>
        <stp/>
        <stp>##V3_BDHV12</stp>
        <stp>AMZN US Equity</stp>
        <stp>HISTORICAL_MARKET_CAP</stp>
        <stp>FQ3 2002</stp>
        <stp>FQ3 2002</stp>
        <stp>[FA1_j2ahgkxc.xlsx]Stock Value!R12C17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6"/>
      </tp>
      <tp>
        <v>6179.9398000000001</v>
        <stp/>
        <stp>##V3_BDHV12</stp>
        <stp>AMZN US Equity</stp>
        <stp>HISTORICAL_MARKET_CAP</stp>
        <stp>FQ2 2002</stp>
        <stp>FQ2 2002</stp>
        <stp>[FA1_j2ahgkxc.xlsx]Stock Value!R12C16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6"/>
      </tp>
      <tp>
        <v>5364.0587999999998</v>
        <stp/>
        <stp>##V3_BDHV12</stp>
        <stp>AMZN US Equity</stp>
        <stp>HISTORICAL_MARKET_CAP</stp>
        <stp>FQ1 2002</stp>
        <stp>FQ1 2002</stp>
        <stp>[FA1_j2ahgkxc.xlsx]Stock Value!R12C15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6"/>
      </tp>
      <tp>
        <v>5557.9915000000001</v>
        <stp/>
        <stp>##V3_BDHV12</stp>
        <stp>AMZN US Equity</stp>
        <stp>HISTORICAL_MARKET_CAP</stp>
        <stp>FQ4 2000</stp>
        <stp>FQ4 2000</stp>
        <stp>[FA1_j2ahgkxc.xlsx]Stock Value!R12C10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6"/>
      </tp>
      <tp>
        <v>-0.255</v>
        <stp/>
        <stp>##V3_BDHV12</stp>
        <stp>AMZN US Equity</stp>
        <stp>IS_BASIC_EPS_CONT_OPS</stp>
        <stp>FQ2 1999</stp>
        <stp>FQ2 1999</stp>
        <stp>[FA1_j2ahgkxc.xlsx]Per Share!R16C5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6" s="5"/>
      </tp>
      <tp t="s">
        <v>—</v>
        <stp/>
        <stp>##V3_BDHV12</stp>
        <stp>AMZN US Equity</stp>
        <stp>PX_TO_FREE_CASH_FLOW</stp>
        <stp>FQ3 1999</stp>
        <stp>FQ3 1999</stp>
        <stp>[FA1_j2ahgkxc.xlsx]Cash Flow - Standardized!R53C5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3" s="4"/>
      </tp>
      <tp t="s">
        <v>—</v>
        <stp/>
        <stp>##V3_BDHV12</stp>
        <stp>AMZN US Equity</stp>
        <stp>PX_TO_FREE_CASH_FLOW</stp>
        <stp>FQ2 1999</stp>
        <stp>FQ2 1999</stp>
        <stp>[FA1_j2ahgkxc.xlsx]Cash Flow - Standardized!R53C4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3" s="4"/>
      </tp>
      <tp t="s">
        <v>—</v>
        <stp/>
        <stp>##V3_BDHV12</stp>
        <stp>AMZN US Equity</stp>
        <stp>PX_TO_FREE_CASH_FLOW</stp>
        <stp>FQ1 2000</stp>
        <stp>FQ1 2000</stp>
        <stp>[FA1_j2ahgkxc.xlsx]Cash Flow - Standardized!R53C7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3" s="4"/>
      </tp>
      <tp>
        <v>-6.9653</v>
        <stp/>
        <stp>##V3_BDHV12</stp>
        <stp>AMZN US Equity</stp>
        <stp>CASH_CONVERSION_CYCLE</stp>
        <stp>FQ1 2007</stp>
        <stp>FQ1 2007</stp>
        <stp>[FA1_j2ahgkxc.xlsx]Bal Sheet - Standardized!R69C35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69" s="3"/>
      </tp>
      <tp>
        <v>-9.3498999999999999</v>
        <stp/>
        <stp>##V3_BDHV12</stp>
        <stp>AMZN US Equity</stp>
        <stp>CASH_CONVERSION_CYCLE</stp>
        <stp>FQ3 2007</stp>
        <stp>FQ3 2007</stp>
        <stp>[FA1_j2ahgkxc.xlsx]Bal Sheet - Standardized!R69C37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69" s="3"/>
      </tp>
      <tp>
        <v>-9.0312999999999999</v>
        <stp/>
        <stp>##V3_BDHV12</stp>
        <stp>AMZN US Equity</stp>
        <stp>CASH_CONVERSION_CYCLE</stp>
        <stp>FQ2 2007</stp>
        <stp>FQ2 2007</stp>
        <stp>[FA1_j2ahgkxc.xlsx]Bal Sheet - Standardized!R69C36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69" s="3"/>
      </tp>
      <tp>
        <v>-24.6844</v>
        <stp/>
        <stp>##V3_BDHV12</stp>
        <stp>AMZN US Equity</stp>
        <stp>CASH_CONVERSION_CYCLE</stp>
        <stp>FQ4 2007</stp>
        <stp>FQ4 2007</stp>
        <stp>[FA1_j2ahgkxc.xlsx]Bal Sheet - Standardized!R69C38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69" s="3"/>
      </tp>
      <tp>
        <v>485</v>
        <stp/>
        <stp>##V3_BDHV12</stp>
        <stp>AMZN US Equity</stp>
        <stp>OTHER_CURRENT_LIABS_SUB_DETAILED</stp>
        <stp>FQ1 2006</stp>
        <stp>FQ1 2006</stp>
        <stp>[FA1_j2ahgkxc.xlsx]Bal Sheet - Standardized!R37C31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7" s="3"/>
      </tp>
      <tp>
        <v>350.34500000000003</v>
        <stp/>
        <stp>##V3_BDHV12</stp>
        <stp>AMZN US Equity</stp>
        <stp>OTHER_CURRENT_LIABS_SUB_DETAILED</stp>
        <stp>FQ3 2002</stp>
        <stp>FQ3 2002</stp>
        <stp>[FA1_j2ahgkxc.xlsx]Bal Sheet - Standardized!R37C17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7" s="3"/>
      </tp>
      <tp>
        <v>2471.5509999999999</v>
        <stp/>
        <stp>##V3_BDHV12</stp>
        <stp>AMZN US Equity</stp>
        <stp>TOT_LIAB_AND_EQY</stp>
        <stp>FQ4 1999</stp>
        <stp>FQ4 1999</stp>
        <stp>[FA1_j2ahgkxc.xlsx]Bal Sheet - Standardized!R55C7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3"/>
      </tp>
      <tp>
        <v>648.46</v>
        <stp/>
        <stp>##V3_BDHV12</stp>
        <stp>AMZN US Equity</stp>
        <stp>TOT_LIAB_AND_EQY</stp>
        <stp>FQ4 1998</stp>
        <stp>FQ4 1998</stp>
        <stp>[FA1_j2ahgkxc.xlsx]Bal Sheet - Standardized!R55C3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3"/>
      </tp>
      <tp>
        <v>2298.2139999999999</v>
        <stp/>
        <stp>##V3_BDHV12</stp>
        <stp>AMZN US Equity</stp>
        <stp>TOT_LIAB_AND_EQY</stp>
        <stp>FQ2 1999</stp>
        <stp>FQ2 1999</stp>
        <stp>[FA1_j2ahgkxc.xlsx]Bal Sheet - Standardized!R55C5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3"/>
      </tp>
      <tp>
        <v>636</v>
        <stp/>
        <stp>##V3_BDHV12</stp>
        <stp>AMZN US Equity</stp>
        <stp>OTHER_CURRENT_LIABS_SUB_DETAILED</stp>
        <stp>FQ1 2007</stp>
        <stp>FQ1 2007</stp>
        <stp>[FA1_j2ahgkxc.xlsx]Bal Sheet - Standardized!R37C35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7" s="3"/>
      </tp>
      <tp>
        <v>781</v>
        <stp/>
        <stp>##V3_BDHV12</stp>
        <stp>AMZN US Equity</stp>
        <stp>OTHER_CURRENT_LIABS_SUB_DETAILED</stp>
        <stp>FQ1 2008</stp>
        <stp>FQ1 2008</stp>
        <stp>[FA1_j2ahgkxc.xlsx]Bal Sheet - Standardized!R37C39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7" s="3"/>
      </tp>
      <tp>
        <v>1812.9840999999999</v>
        <stp/>
        <stp>##V3_BDHV12</stp>
        <stp>AMZN US Equity</stp>
        <stp>TOT_LIAB_AND_EQY</stp>
        <stp>FQ1 1999</stp>
        <stp>FQ1 1999</stp>
        <stp>[FA1_j2ahgkxc.xlsx]Bal Sheet - Standardized!R55C4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3"/>
      </tp>
      <tp>
        <v>2239.799</v>
        <stp/>
        <stp>##V3_BDHV12</stp>
        <stp>AMZN US Equity</stp>
        <stp>TOT_LIAB_AND_EQY</stp>
        <stp>FQ3 1999</stp>
        <stp>FQ3 1999</stp>
        <stp>[FA1_j2ahgkxc.xlsx]Bal Sheet - Standardized!R55C6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3"/>
      </tp>
      <tp>
        <v>375.15199999999999</v>
        <stp/>
        <stp>##V3_BDHV12</stp>
        <stp>AMZN US Equity</stp>
        <stp>OTHER_CURRENT_LIABS_SUB_DETAILED</stp>
        <stp>FQ3 2001</stp>
        <stp>FQ3 2001</stp>
        <stp>[FA1_j2ahgkxc.xlsx]Bal Sheet - Standardized!R37C13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7" s="3"/>
      </tp>
      <tp t="s">
        <v>—</v>
        <stp/>
        <stp>##V3_BDHV12</stp>
        <stp>AMZN US Equity</stp>
        <stp>CF_CHANGE_IN_INVENTORIES</stp>
        <stp>FQ4 2003</stp>
        <stp>FQ4 2003</stp>
        <stp>[FA1_j2ahgkxc.xlsx]Cash Flow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4"/>
      </tp>
      <tp>
        <v>-107.724</v>
        <stp/>
        <stp>##V3_BDHV12</stp>
        <stp>AMZN US Equity</stp>
        <stp>CF_CHANGE_IN_INVENTORIES</stp>
        <stp>FQ4 2004</stp>
        <stp>FQ4 2004</stp>
        <stp>[FA1_j2ahgkxc.xlsx]Cash Flow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4"/>
      </tp>
      <tp>
        <v>-35</v>
        <stp/>
        <stp>##V3_BDHV12</stp>
        <stp>AMZN US Equity</stp>
        <stp>CF_CHANGE_IN_INVENTORIES</stp>
        <stp>FQ2 2008</stp>
        <stp>FQ2 2008</stp>
        <stp>[FA1_j2ahgkxc.xlsx]Cash Flow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4"/>
      </tp>
      <tp>
        <v>-2863.29</v>
        <stp/>
        <stp>##V3_BDHV12</stp>
        <stp>AMZN US Equity</stp>
        <stp>BS_PURE_RETAINED_EARNINGS</stp>
        <stp>FQ1 2004</stp>
        <stp>FQ1 2004</stp>
        <stp>[FA1_j2ahgkxc.xlsx]Bal Sheet - Standardized!R50C23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0" s="3"/>
      </tp>
      <tp t="s">
        <v>—</v>
        <stp/>
        <stp>##V3_BDHV12</stp>
        <stp>AMZN US Equity</stp>
        <stp>BS_PURE_RETAINED_EARNINGS</stp>
        <stp>FQ2 2002</stp>
        <stp>FQ2 2002</stp>
        <stp>[FA1_j2ahgkxc.xlsx]Bal Sheet - Standardized!R50C16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0" s="3"/>
      </tp>
      <tp t="s">
        <v>—</v>
        <stp/>
        <stp>##V3_BDHV12</stp>
        <stp>AMZN US Equity</stp>
        <stp>BS_PURE_RETAINED_EARNINGS</stp>
        <stp>FQ2 2001</stp>
        <stp>FQ2 2001</stp>
        <stp>[FA1_j2ahgkxc.xlsx]Bal Sheet - Standardized!R50C12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0" s="3"/>
      </tp>
      <tp>
        <v>-2308</v>
        <stp/>
        <stp>##V3_BDHV12</stp>
        <stp>AMZN US Equity</stp>
        <stp>BS_PURE_RETAINED_EARNINGS</stp>
        <stp>FQ1 2005</stp>
        <stp>FQ1 2005</stp>
        <stp>[FA1_j2ahgkxc.xlsx]Bal Sheet - Standardized!R50C27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0" s="3"/>
      </tp>
      <tp>
        <v>5.5507</v>
        <stp/>
        <stp>##V3_BDHV12</stp>
        <stp>AMZN US Equity</stp>
        <stp>CASH_FLOW_TO_NET_INC</stp>
        <stp>FQ4 2007</stp>
        <stp>FQ4 2007</stp>
        <stp>[FA1_j2ahgkxc.xlsx]Cash Flow - Standardized!R54C38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54" s="4"/>
      </tp>
      <tp>
        <v>-2.5135000000000001</v>
        <stp/>
        <stp>##V3_BDHV12</stp>
        <stp>AMZN US Equity</stp>
        <stp>CASH_FLOW_TO_NET_INC</stp>
        <stp>FQ1 2007</stp>
        <stp>FQ1 2007</stp>
        <stp>[FA1_j2ahgkxc.xlsx]Cash Flow - Standardized!R54C35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54" s="4"/>
      </tp>
      <tp>
        <v>3.8332999999999999</v>
        <stp/>
        <stp>##V3_BDHV12</stp>
        <stp>AMZN US Equity</stp>
        <stp>CASH_FLOW_TO_NET_INC</stp>
        <stp>FQ2 2007</stp>
        <stp>FQ2 2007</stp>
        <stp>[FA1_j2ahgkxc.xlsx]Cash Flow - Standardized!R54C36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54" s="4"/>
      </tp>
      <tp>
        <v>2.9624999999999999</v>
        <stp/>
        <stp>##V3_BDHV12</stp>
        <stp>AMZN US Equity</stp>
        <stp>CASH_FLOW_TO_NET_INC</stp>
        <stp>FQ3 2007</stp>
        <stp>FQ3 2007</stp>
        <stp>[FA1_j2ahgkxc.xlsx]Cash Flow - Standardized!R54C37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54" s="4"/>
      </tp>
      <tp>
        <v>29.298999999999999</v>
        <stp/>
        <stp>##V3_BDHV12</stp>
        <stp>AMZN US Equity</stp>
        <stp>IS_INT_EXPENSE</stp>
        <stp>FQ4 2003</stp>
        <stp>FQ4 2003</stp>
        <stp>[FA1_j2ahgkxc.xlsx]Income - Adjusted!R14C22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4" s="2"/>
      </tp>
      <tp>
        <v>19</v>
        <stp/>
        <stp>##V3_BDHV12</stp>
        <stp>AMZN US Equity</stp>
        <stp>IS_INT_EXPENSE</stp>
        <stp>FQ2 2007</stp>
        <stp>FQ2 2007</stp>
        <stp>[FA1_j2ahgkxc.xlsx]Income - Adjusted!R14C36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4" s="2"/>
      </tp>
      <tp>
        <v>26.306999999999999</v>
        <stp/>
        <stp>##V3_BDHV12</stp>
        <stp>AMZN US Equity</stp>
        <stp>IS_INT_EXPENSE</stp>
        <stp>FQ3 2004</stp>
        <stp>FQ3 2004</stp>
        <stp>[FA1_j2ahgkxc.xlsx]Income - Adjusted!R14C25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4" s="2"/>
      </tp>
      <tp>
        <v>22</v>
        <stp/>
        <stp>##V3_BDHV12</stp>
        <stp>AMZN US Equity</stp>
        <stp>IS_INT_EXPENSE</stp>
        <stp>FQ1 2008</stp>
        <stp>FQ1 2008</stp>
        <stp>[FA1_j2ahgkxc.xlsx]Income - Adjusted!R14C39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4" s="2"/>
      </tp>
      <tp t="s">
        <v>—</v>
        <stp/>
        <stp>##V3_BDHV12</stp>
        <stp>AMZN US Equity</stp>
        <stp>BS_ACCTS_REC_EXCL_NOTES_REC</stp>
        <stp>FQ4 1999</stp>
        <stp>FQ4 1999</stp>
        <stp>[FA1_j2ahgkxc.xlsx]Bal Sheet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3"/>
      </tp>
      <tp>
        <v>376.93700000000001</v>
        <stp/>
        <stp>##V3_BDHV12</stp>
        <stp>AMZN US Equity</stp>
        <stp>IS_SH_FOR_DILUTED_EPS</stp>
        <stp>FQ2 2002</stp>
        <stp>FQ2 2002</stp>
        <stp>[FA1_j2ahgkxc.xlsx]Per Share!R7C16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5"/>
      </tp>
      <tp>
        <v>379.65</v>
        <stp/>
        <stp>##V3_BDHV12</stp>
        <stp>AMZN US Equity</stp>
        <stp>IS_SH_FOR_DILUTED_EPS</stp>
        <stp>FQ3 2002</stp>
        <stp>FQ3 2002</stp>
        <stp>[FA1_j2ahgkxc.xlsx]Per Share!R7C17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5"/>
      </tp>
      <tp>
        <v>373.03100000000001</v>
        <stp/>
        <stp>##V3_BDHV12</stp>
        <stp>AMZN US Equity</stp>
        <stp>IS_SH_FOR_DILUTED_EPS</stp>
        <stp>FQ1 2002</stp>
        <stp>FQ1 2002</stp>
        <stp>[FA1_j2ahgkxc.xlsx]Per Share!R7C15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5"/>
      </tp>
      <tp>
        <v>-7.0000000000000007E-2</v>
        <stp/>
        <stp>##V3_BDHV12</stp>
        <stp>AMZN US Equity</stp>
        <stp>IS_BASIC_EPS_CONT_OPS</stp>
        <stp>FQ4 1998</stp>
        <stp>FQ4 1998</stp>
        <stp>[FA1_j2ahgkxc.xlsx]Per Share!R16C3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6" s="5"/>
      </tp>
      <tp t="s">
        <v>—</v>
        <stp/>
        <stp>##V3_BDHV12</stp>
        <stp>AMZN US Equity</stp>
        <stp>BS_ACCTS_REC_EXCL_NOTES_REC</stp>
        <stp>FQ4 1998</stp>
        <stp>FQ4 1998</stp>
        <stp>[FA1_j2ahgkxc.xlsx]Bal Sheet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3"/>
      </tp>
      <tp t="s">
        <v>—</v>
        <stp/>
        <stp>##V3_BDHV12</stp>
        <stp>AMZN US Equity</stp>
        <stp>BS_ACCTS_REC_EXCL_NOTES_REC</stp>
        <stp>FQ2 1999</stp>
        <stp>FQ2 1999</stp>
        <stp>[FA1_j2ahgkxc.xlsx]Bal Sheet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3"/>
      </tp>
      <tp>
        <v>426</v>
        <stp/>
        <stp>##V3_BDHV12</stp>
        <stp>AMZN US Equity</stp>
        <stp>IS_SH_FOR_DILUTED_EPS</stp>
        <stp>FQ1 2006</stp>
        <stp>FQ1 2006</stp>
        <stp>[FA1_j2ahgkxc.xlsx]Per Share!R7C31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5"/>
      </tp>
      <tp>
        <v>426</v>
        <stp/>
        <stp>##V3_BDHV12</stp>
        <stp>AMZN US Equity</stp>
        <stp>IS_SH_FOR_DILUTED_EPS</stp>
        <stp>FQ2 2006</stp>
        <stp>FQ2 2006</stp>
        <stp>[FA1_j2ahgkxc.xlsx]Per Share!R7C32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5"/>
      </tp>
      <tp>
        <v>424</v>
        <stp/>
        <stp>##V3_BDHV12</stp>
        <stp>AMZN US Equity</stp>
        <stp>IS_SH_FOR_DILUTED_EPS</stp>
        <stp>FQ3 2006</stp>
        <stp>FQ3 2006</stp>
        <stp>[FA1_j2ahgkxc.xlsx]Per Share!R7C33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5"/>
      </tp>
      <tp>
        <v>424</v>
        <stp/>
        <stp>##V3_BDHV12</stp>
        <stp>AMZN US Equity</stp>
        <stp>IS_SH_FOR_DILUTED_EPS</stp>
        <stp>FQ4 2006</stp>
        <stp>FQ4 2006</stp>
        <stp>[FA1_j2ahgkxc.xlsx]Per Share!R7C34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5"/>
      </tp>
      <tp t="s">
        <v>—</v>
        <stp/>
        <stp>##V3_BDHV12</stp>
        <stp>AMZN US Equity</stp>
        <stp>BS_ACCTS_REC_EXCL_NOTES_REC</stp>
        <stp>FQ1 1999</stp>
        <stp>FQ1 1999</stp>
        <stp>[FA1_j2ahgkxc.xlsx]Bal Sheet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3"/>
      </tp>
      <tp t="s">
        <v>—</v>
        <stp/>
        <stp>##V3_BDHV12</stp>
        <stp>AMZN US Equity</stp>
        <stp>BS_ACCTS_REC_EXCL_NOTES_REC</stp>
        <stp>FQ3 1999</stp>
        <stp>FQ3 1999</stp>
        <stp>[FA1_j2ahgkxc.xlsx]Bal Sheet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3"/>
      </tp>
      <tp>
        <v>424.51900000000001</v>
        <stp/>
        <stp>##V3_BDHV12</stp>
        <stp>AMZN US Equity</stp>
        <stp>IS_SH_FOR_DILUTED_EPS</stp>
        <stp>FQ1 2004</stp>
        <stp>FQ1 2004</stp>
        <stp>[FA1_j2ahgkxc.xlsx]Per Share!R7C23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5"/>
      </tp>
      <tp>
        <v>425.03399999999999</v>
        <stp/>
        <stp>##V3_BDHV12</stp>
        <stp>AMZN US Equity</stp>
        <stp>IS_SH_FOR_DILUTED_EPS</stp>
        <stp>FQ4 2004</stp>
        <stp>FQ4 2004</stp>
        <stp>[FA1_j2ahgkxc.xlsx]Per Share!R7C26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5"/>
      </tp>
      <tp>
        <v>403.54199999999997</v>
        <stp/>
        <stp>##V3_BDHV12</stp>
        <stp>AMZN US Equity</stp>
        <stp>IS_AVG_NUM_SH_FOR_EPS</stp>
        <stp>FQ1 2004</stp>
        <stp>FQ1 2004</stp>
        <stp>[FA1_j2ahgkxc.xlsx]Per Share!R8C23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5"/>
      </tp>
      <tp>
        <v>408.22699999999998</v>
        <stp/>
        <stp>##V3_BDHV12</stp>
        <stp>AMZN US Equity</stp>
        <stp>IS_AVG_NUM_SH_FOR_EPS</stp>
        <stp>FQ4 2004</stp>
        <stp>FQ4 2004</stp>
        <stp>[FA1_j2ahgkxc.xlsx]Per Share!R8C26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5"/>
      </tp>
      <tp>
        <v>417</v>
        <stp/>
        <stp>##V3_BDHV12</stp>
        <stp>AMZN US Equity</stp>
        <stp>IS_AVG_NUM_SH_FOR_EPS</stp>
        <stp>FQ3 2006</stp>
        <stp>FQ3 2006</stp>
        <stp>[FA1_j2ahgkxc.xlsx]Per Share!R8C33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5"/>
      </tp>
      <tp>
        <v>418</v>
        <stp/>
        <stp>##V3_BDHV12</stp>
        <stp>AMZN US Equity</stp>
        <stp>IS_AVG_NUM_SH_FOR_EPS</stp>
        <stp>FQ2 2006</stp>
        <stp>FQ2 2006</stp>
        <stp>[FA1_j2ahgkxc.xlsx]Per Share!R8C32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5"/>
      </tp>
      <tp>
        <v>417</v>
        <stp/>
        <stp>##V3_BDHV12</stp>
        <stp>AMZN US Equity</stp>
        <stp>IS_AVG_NUM_SH_FOR_EPS</stp>
        <stp>FQ1 2006</stp>
        <stp>FQ1 2006</stp>
        <stp>[FA1_j2ahgkxc.xlsx]Per Share!R8C31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5"/>
      </tp>
      <tp>
        <v>416</v>
        <stp/>
        <stp>##V3_BDHV12</stp>
        <stp>AMZN US Equity</stp>
        <stp>IS_AVG_NUM_SH_FOR_EPS</stp>
        <stp>FQ4 2006</stp>
        <stp>FQ4 2006</stp>
        <stp>[FA1_j2ahgkxc.xlsx]Per Share!R8C34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5"/>
      </tp>
      <tp>
        <v>373.03100000000001</v>
        <stp/>
        <stp>##V3_BDHV12</stp>
        <stp>AMZN US Equity</stp>
        <stp>IS_AVG_NUM_SH_FOR_EPS</stp>
        <stp>FQ1 2002</stp>
        <stp>FQ1 2002</stp>
        <stp>[FA1_j2ahgkxc.xlsx]Per Share!R8C15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5"/>
      </tp>
      <tp>
        <v>379.65</v>
        <stp/>
        <stp>##V3_BDHV12</stp>
        <stp>AMZN US Equity</stp>
        <stp>IS_AVG_NUM_SH_FOR_EPS</stp>
        <stp>FQ3 2002</stp>
        <stp>FQ3 2002</stp>
        <stp>[FA1_j2ahgkxc.xlsx]Per Share!R8C17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5"/>
      </tp>
      <tp>
        <v>376.93700000000001</v>
        <stp/>
        <stp>##V3_BDHV12</stp>
        <stp>AMZN US Equity</stp>
        <stp>IS_AVG_NUM_SH_FOR_EPS</stp>
        <stp>FQ2 2002</stp>
        <stp>FQ2 2002</stp>
        <stp>[FA1_j2ahgkxc.xlsx]Per Share!R8C16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5"/>
      </tp>
      <tp>
        <v>-9.4179999999999993</v>
        <stp/>
        <stp>##V3_BDHV12</stp>
        <stp>AMZN US Equity</stp>
        <stp>CASH_CONVERSION_CYCLE</stp>
        <stp>FQ1 2006</stp>
        <stp>FQ1 2006</stp>
        <stp>[FA1_j2ahgkxc.xlsx]Bal Sheet - Standardized!R69C31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69" s="3"/>
      </tp>
      <tp>
        <v>-10.944599999999999</v>
        <stp/>
        <stp>##V3_BDHV12</stp>
        <stp>AMZN US Equity</stp>
        <stp>CASH_CONVERSION_CYCLE</stp>
        <stp>FQ3 2006</stp>
        <stp>FQ3 2006</stp>
        <stp>[FA1_j2ahgkxc.xlsx]Bal Sheet - Standardized!R69C33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69" s="3"/>
      </tp>
      <tp>
        <v>-11.6631</v>
        <stp/>
        <stp>##V3_BDHV12</stp>
        <stp>AMZN US Equity</stp>
        <stp>CASH_CONVERSION_CYCLE</stp>
        <stp>FQ2 2006</stp>
        <stp>FQ2 2006</stp>
        <stp>[FA1_j2ahgkxc.xlsx]Bal Sheet - Standardized!R69C32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69" s="3"/>
      </tp>
      <tp>
        <v>-24.424499999999998</v>
        <stp/>
        <stp>##V3_BDHV12</stp>
        <stp>AMZN US Equity</stp>
        <stp>CASH_CONVERSION_CYCLE</stp>
        <stp>FQ4 2006</stp>
        <stp>FQ4 2006</stp>
        <stp>[FA1_j2ahgkxc.xlsx]Bal Sheet - Standardized!R69C34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69" s="3"/>
      </tp>
      <tp>
        <v>1163.085</v>
        <stp/>
        <stp>##V3_BDHV12</stp>
        <stp>AMZN US Equity</stp>
        <stp>BS_CUR_ASSET_REPORT</stp>
        <stp>FQ3 2000</stp>
        <stp>FQ3 2000</stp>
        <stp>[FA1_j2ahgkxc.xlsx]Bal Sheet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3"/>
      </tp>
      <tp>
        <v>1270.9490000000001</v>
        <stp/>
        <stp>##V3_BDHV12</stp>
        <stp>AMZN US Equity</stp>
        <stp>BS_CUR_ASSET_REPORT</stp>
        <stp>FQ1 2000</stp>
        <stp>FQ1 2000</stp>
        <stp>[FA1_j2ahgkxc.xlsx]Bal Sheet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252.77799999999999</v>
        <stp/>
        <stp>##V3_BDHV12</stp>
        <stp>AMZN US Equity</stp>
        <stp>SALES_REV_TURN</stp>
        <stp>FQ4 1998</stp>
        <stp>FQ4 1998</stp>
        <stp>[FA1_j2ahgkxc.xlsx]Income - Adjusted!R6C3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314.37700000000001</v>
        <stp/>
        <stp>##V3_BDHV12</stp>
        <stp>AMZN US Equity</stp>
        <stp>SALES_REV_TURN</stp>
        <stp>FQ2 1999</stp>
        <stp>FQ2 1999</stp>
        <stp>[FA1_j2ahgkxc.xlsx]Income - Adjusted!R6C5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0</v>
        <stp/>
        <stp>##V3_BDHV12</stp>
        <stp>AMZN US Equity</stp>
        <stp>OTHER_NONCURRENT_LIABS_DETAILED</stp>
        <stp>FQ2 2006</stp>
        <stp>FQ2 2006</stp>
        <stp>[FA1_j2ahgkxc.xlsx]Bal Sheet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3"/>
      </tp>
      <tp>
        <v>183</v>
        <stp/>
        <stp>##V3_BDHV12</stp>
        <stp>AMZN US Equity</stp>
        <stp>BS_TOTAL_CAPITAL_LEASES</stp>
        <stp>FQ3 2008</stp>
        <stp>FQ3 2008</stp>
        <stp>[FA1_j2ahgkxc.xlsx]Bal Sheet - Standardized!R62C41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2" s="3"/>
      </tp>
      <tp>
        <v>88</v>
        <stp/>
        <stp>##V3_BDHV12</stp>
        <stp>AMZN US Equity</stp>
        <stp>BS_TOTAL_CAPITAL_LEASES</stp>
        <stp>FQ4 2007</stp>
        <stp>FQ4 2007</stp>
        <stp>[FA1_j2ahgkxc.xlsx]Bal Sheet - Standardized!R62C38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2" s="3"/>
      </tp>
      <tp>
        <v>242</v>
        <stp/>
        <stp>##V3_BDHV12</stp>
        <stp>AMZN US Equity</stp>
        <stp>OTHER_NONCURRENT_LIABS_DETAILED</stp>
        <stp>FQ2 2007</stp>
        <stp>FQ2 2007</stp>
        <stp>[FA1_j2ahgkxc.xlsx]Bal Sheet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3"/>
      </tp>
      <tp>
        <v>0</v>
        <stp/>
        <stp>##V3_BDHV12</stp>
        <stp>AMZN US Equity</stp>
        <stp>OTHER_NONCURRENT_LIABS_DETAILED</stp>
        <stp>FQ3 2004</stp>
        <stp>FQ3 2004</stp>
        <stp>[FA1_j2ahgkxc.xlsx]Bal Sheet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3"/>
      </tp>
      <tp>
        <v>0</v>
        <stp/>
        <stp>##V3_BDHV12</stp>
        <stp>AMZN US Equity</stp>
        <stp>OTHER_NONCURRENT_LIABS_DETAILED</stp>
        <stp>FQ3 2003</stp>
        <stp>FQ3 2003</stp>
        <stp>[FA1_j2ahgkxc.xlsx]Bal Sheet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3"/>
      </tp>
      <tp>
        <v>0</v>
        <stp/>
        <stp>##V3_BDHV12</stp>
        <stp>AMZN US Equity</stp>
        <stp>OTHER_NONCURRENT_LIABS_DETAILED</stp>
        <stp>FQ3 2005</stp>
        <stp>FQ3 2005</stp>
        <stp>[FA1_j2ahgkxc.xlsx]Bal Sheet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3"/>
      </tp>
      <tp>
        <v>3.5931999999999999</v>
        <stp/>
        <stp>##V3_BDHV12</stp>
        <stp>AMZN US Equity</stp>
        <stp>CASH_FLOW_TO_NET_INC</stp>
        <stp>FQ3 2008</stp>
        <stp>FQ3 2008</stp>
        <stp>[FA1_j2ahgkxc.xlsx]Cash Flow - Standardized!R54C41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54" s="4"/>
      </tp>
      <tp>
        <v>2.1962000000000002</v>
        <stp/>
        <stp>##V3_BDHV12</stp>
        <stp>AMZN US Equity</stp>
        <stp>CASH_FLOW_TO_NET_INC</stp>
        <stp>FQ2 2008</stp>
        <stp>FQ2 2008</stp>
        <stp>[FA1_j2ahgkxc.xlsx]Cash Flow - Standardized!R54C40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54" s="4"/>
      </tp>
      <tp>
        <v>-4.5105000000000004</v>
        <stp/>
        <stp>##V3_BDHV12</stp>
        <stp>AMZN US Equity</stp>
        <stp>CASH_FLOW_TO_NET_INC</stp>
        <stp>FQ1 2008</stp>
        <stp>FQ1 2008</stp>
        <stp>[FA1_j2ahgkxc.xlsx]Cash Flow - Standardized!R54C39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54" s="4"/>
      </tp>
      <tp>
        <v>6.9821999999999997</v>
        <stp/>
        <stp>##V3_BDHV12</stp>
        <stp>AMZN US Equity</stp>
        <stp>CASH_FLOW_TO_NET_INC</stp>
        <stp>FQ4 2008</stp>
        <stp>FQ4 2008</stp>
        <stp>[FA1_j2ahgkxc.xlsx]Cash Flow - Standardized!R54C42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54" s="4"/>
      </tp>
      <tp>
        <v>7</v>
        <stp/>
        <stp>##V3_BDHV12</stp>
        <stp>AMZN US Equity</stp>
        <stp>BS_TOTAL_CAPITAL_LEASES</stp>
        <stp>FQ4 2005</stp>
        <stp>FQ4 2005</stp>
        <stp>[FA1_j2ahgkxc.xlsx]Bal Sheet - Standardized!R62C30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2" s="3"/>
      </tp>
      <tp>
        <v>55</v>
        <stp/>
        <stp>##V3_BDHV12</stp>
        <stp>AMZN US Equity</stp>
        <stp>BS_TOTAL_CAPITAL_LEASES</stp>
        <stp>FQ4 2006</stp>
        <stp>FQ4 2006</stp>
        <stp>[FA1_j2ahgkxc.xlsx]Bal Sheet - Standardized!R62C34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2" s="3"/>
      </tp>
      <tp>
        <v>0</v>
        <stp/>
        <stp>##V3_BDHV12</stp>
        <stp>AMZN US Equity</stp>
        <stp>INVTRY_IN_PROGRESS</stp>
        <stp>FQ2 2006</stp>
        <stp>FQ2 2006</stp>
        <stp>[FA1_j2ahgkxc.xlsx]Bal Sheet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3"/>
      </tp>
      <tp>
        <v>0</v>
        <stp/>
        <stp>##V3_BDHV12</stp>
        <stp>AMZN US Equity</stp>
        <stp>INVTRY_IN_PROGRESS</stp>
        <stp>FQ3 2004</stp>
        <stp>FQ3 2004</stp>
        <stp>[FA1_j2ahgkxc.xlsx]Bal Sheet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3"/>
      </tp>
      <tp>
        <v>0</v>
        <stp/>
        <stp>##V3_BDHV12</stp>
        <stp>AMZN US Equity</stp>
        <stp>INVTRY_IN_PROGRESS</stp>
        <stp>FQ2 2007</stp>
        <stp>FQ2 2007</stp>
        <stp>[FA1_j2ahgkxc.xlsx]Bal Sheet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3"/>
      </tp>
      <tp>
        <v>0</v>
        <stp/>
        <stp>##V3_BDHV12</stp>
        <stp>AMZN US Equity</stp>
        <stp>INVTRY_IN_PROGRESS</stp>
        <stp>FQ3 2003</stp>
        <stp>FQ3 2003</stp>
        <stp>[FA1_j2ahgkxc.xlsx]Bal Sheet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3"/>
      </tp>
      <tp>
        <v>0</v>
        <stp/>
        <stp>##V3_BDHV12</stp>
        <stp>AMZN US Equity</stp>
        <stp>INVTRY_IN_PROGRESS</stp>
        <stp>FQ3 2005</stp>
        <stp>FQ3 2005</stp>
        <stp>[FA1_j2ahgkxc.xlsx]Bal Sheet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3"/>
      </tp>
      <tp>
        <v>-0.35</v>
        <stp/>
        <stp>##V3_BDHV12</stp>
        <stp>AMZN US Equity</stp>
        <stp>IS_BASIC_EPS_CONT_OPS</stp>
        <stp>FQ1 2000</stp>
        <stp>FQ1 2000</stp>
        <stp>[FA1_j2ahgkxc.xlsx]Per Share!R16C8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6" s="5"/>
      </tp>
      <tp>
        <v>-323.21300000000002</v>
        <stp/>
        <stp>##V3_BDHV12</stp>
        <stp>AMZN US Equity</stp>
        <stp>NET_INCOME</stp>
        <stp>FQ4 1999</stp>
        <stp>FQ4 1999</stp>
        <stp>[FA1_j2ahgkxc.xlsx]Income - Adjusted!R26C7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6" s="2"/>
      </tp>
      <tp>
        <v>0</v>
        <stp/>
        <stp>##V3_BDHV12</stp>
        <stp>AMZN US Equity</stp>
        <stp>OTHER_NONCURRENT_LIABS_DETAILED</stp>
        <stp>FQ3 2006</stp>
        <stp>FQ3 2006</stp>
        <stp>[FA1_j2ahgkxc.xlsx]Bal Sheet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3"/>
      </tp>
      <tp>
        <v>0</v>
        <stp/>
        <stp>##V3_BDHV12</stp>
        <stp>AMZN US Equity</stp>
        <stp>OTHER_NONCURRENT_LIABS_DETAILED</stp>
        <stp>FQ1 2002</stp>
        <stp>FQ1 2002</stp>
        <stp>[FA1_j2ahgkxc.xlsx]Bal Sheet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3"/>
      </tp>
      <tp>
        <v>157</v>
        <stp/>
        <stp>##V3_BDHV12</stp>
        <stp>AMZN US Equity</stp>
        <stp>BS_TOTAL_CAPITAL_LEASES</stp>
        <stp>FQ2 2008</stp>
        <stp>FQ2 2008</stp>
        <stp>[FA1_j2ahgkxc.xlsx]Bal Sheet - Standardized!R62C40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2" s="3"/>
      </tp>
      <tp>
        <v>265</v>
        <stp/>
        <stp>##V3_BDHV12</stp>
        <stp>AMZN US Equity</stp>
        <stp>OTHER_NONCURRENT_LIABS_DETAILED</stp>
        <stp>FQ3 2007</stp>
        <stp>FQ3 2007</stp>
        <stp>[FA1_j2ahgkxc.xlsx]Bal Sheet - Standardized!R44C37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4" s="3"/>
      </tp>
      <tp>
        <v>0</v>
        <stp/>
        <stp>##V3_BDHV12</stp>
        <stp>AMZN US Equity</stp>
        <stp>OTHER_NONCURRENT_LIABS_DETAILED</stp>
        <stp>FQ2 2004</stp>
        <stp>FQ2 2004</stp>
        <stp>[FA1_j2ahgkxc.xlsx]Bal Sheet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3"/>
      </tp>
      <tp>
        <v>0</v>
        <stp/>
        <stp>##V3_BDHV12</stp>
        <stp>AMZN US Equity</stp>
        <stp>OTHER_NONCURRENT_LIABS_DETAILED</stp>
        <stp>FQ1 2001</stp>
        <stp>FQ1 2001</stp>
        <stp>[FA1_j2ahgkxc.xlsx]Bal Sheet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3"/>
      </tp>
      <tp>
        <v>0</v>
        <stp/>
        <stp>##V3_BDHV12</stp>
        <stp>AMZN US Equity</stp>
        <stp>OTHER_NONCURRENT_LIABS_DETAILED</stp>
        <stp>FQ2 2003</stp>
        <stp>FQ2 2003</stp>
        <stp>[FA1_j2ahgkxc.xlsx]Bal Sheet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3"/>
      </tp>
      <tp>
        <v>0</v>
        <stp/>
        <stp>##V3_BDHV12</stp>
        <stp>AMZN US Equity</stp>
        <stp>OTHER_NONCURRENT_LIABS_DETAILED</stp>
        <stp>FQ2 2005</stp>
        <stp>FQ2 2005</stp>
        <stp>[FA1_j2ahgkxc.xlsx]Bal Sheet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3"/>
      </tp>
      <tp>
        <v>0</v>
        <stp/>
        <stp>##V3_BDHV12</stp>
        <stp>AMZN US Equity</stp>
        <stp>INVTRY_IN_PROGRESS</stp>
        <stp>FQ3 1999</stp>
        <stp>FQ3 1999</stp>
        <stp>[FA1_j2ahgkxc.xlsx]Bal Sheet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0</v>
        <stp/>
        <stp>##V3_BDHV12</stp>
        <stp>AMZN US Equity</stp>
        <stp>INVTRY_IN_PROGRESS</stp>
        <stp>FQ1 1999</stp>
        <stp>FQ1 1999</stp>
        <stp>[FA1_j2ahgkxc.xlsx]Bal Sheet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3"/>
      </tp>
      <tp>
        <v>363</v>
        <stp/>
        <stp>##V3_BDHV12</stp>
        <stp>AMZN US Equity</stp>
        <stp>OTHER_NONCURRENT_LIABS_DETAILED</stp>
        <stp>FQ4 2008</stp>
        <stp>FQ4 2008</stp>
        <stp>[FA1_j2ahgkxc.xlsx]Bal Sheet - Standardized!R44C42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4" s="3"/>
      </tp>
      <tp>
        <v>0</v>
        <stp/>
        <stp>##V3_BDHV12</stp>
        <stp>AMZN US Equity</stp>
        <stp>INVTRY_IN_PROGRESS</stp>
        <stp>FQ4 1998</stp>
        <stp>FQ4 1998</stp>
        <stp>[FA1_j2ahgkxc.xlsx]Bal Sheet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0</v>
        <stp/>
        <stp>##V3_BDHV12</stp>
        <stp>AMZN US Equity</stp>
        <stp>INVTRY_IN_PROGRESS</stp>
        <stp>FQ2 1999</stp>
        <stp>FQ2 1999</stp>
        <stp>[FA1_j2ahgkxc.xlsx]Bal Sheet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0</v>
        <stp/>
        <stp>##V3_BDHV12</stp>
        <stp>AMZN US Equity</stp>
        <stp>OTHER_NONCURRENT_LIABS_DETAILED</stp>
        <stp>FQ1 2003</stp>
        <stp>FQ1 2003</stp>
        <stp>[FA1_j2ahgkxc.xlsx]Bal Sheet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3"/>
      </tp>
      <tp t="s">
        <v>—</v>
        <stp/>
        <stp>##V3_BDHV12</stp>
        <stp>AMZN US Equity</stp>
        <stp>BS_TOTAL_CAPITAL_LEASES</stp>
        <stp>FQ4 2003</stp>
        <stp>FQ4 2003</stp>
        <stp>[FA1_j2ahgkxc.xlsx]Bal Sheet - Standardized!R62C22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2" s="3"/>
      </tp>
      <tp>
        <v>1.744</v>
        <stp/>
        <stp>##V3_BDHV12</stp>
        <stp>AMZN US Equity</stp>
        <stp>BS_TOTAL_CAPITAL_LEASES</stp>
        <stp>FQ4 2004</stp>
        <stp>FQ4 2004</stp>
        <stp>[FA1_j2ahgkxc.xlsx]Bal Sheet - Standardized!R62C26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2" s="3"/>
      </tp>
      <tp>
        <v>0</v>
        <stp/>
        <stp>##V3_BDHV12</stp>
        <stp>AMZN US Equity</stp>
        <stp>INVTRY_IN_PROGRESS</stp>
        <stp>FQ4 1999</stp>
        <stp>FQ4 1999</stp>
        <stp>[FA1_j2ahgkxc.xlsx]Bal Sheet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3"/>
      </tp>
      <tp>
        <v>0</v>
        <stp/>
        <stp>##V3_BDHV12</stp>
        <stp>AMZN US Equity</stp>
        <stp>INVTRY_IN_PROGRESS</stp>
        <stp>FQ3 2006</stp>
        <stp>FQ3 2006</stp>
        <stp>[FA1_j2ahgkxc.xlsx]Bal Sheet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3"/>
      </tp>
      <tp>
        <v>0</v>
        <stp/>
        <stp>##V3_BDHV12</stp>
        <stp>AMZN US Equity</stp>
        <stp>INVTRY_IN_PROGRESS</stp>
        <stp>FQ1 2002</stp>
        <stp>FQ1 2002</stp>
        <stp>[FA1_j2ahgkxc.xlsx]Bal Sheet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3"/>
      </tp>
      <tp>
        <v>0</v>
        <stp/>
        <stp>##V3_BDHV12</stp>
        <stp>AMZN US Equity</stp>
        <stp>INVTRY_IN_PROGRESS</stp>
        <stp>FQ2 2004</stp>
        <stp>FQ2 2004</stp>
        <stp>[FA1_j2ahgkxc.xlsx]Bal Sheet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3"/>
      </tp>
      <tp>
        <v>0</v>
        <stp/>
        <stp>##V3_BDHV12</stp>
        <stp>AMZN US Equity</stp>
        <stp>INVTRY_IN_PROGRESS</stp>
        <stp>FQ3 2007</stp>
        <stp>FQ3 2007</stp>
        <stp>[FA1_j2ahgkxc.xlsx]Bal Sheet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3"/>
      </tp>
      <tp>
        <v>0</v>
        <stp/>
        <stp>##V3_BDHV12</stp>
        <stp>AMZN US Equity</stp>
        <stp>INVTRY_IN_PROGRESS</stp>
        <stp>FQ1 2001</stp>
        <stp>FQ1 2001</stp>
        <stp>[FA1_j2ahgkxc.xlsx]Bal Sheet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3"/>
      </tp>
      <tp>
        <v>0</v>
        <stp/>
        <stp>##V3_BDHV12</stp>
        <stp>AMZN US Equity</stp>
        <stp>INVTRY_IN_PROGRESS</stp>
        <stp>FQ2 2003</stp>
        <stp>FQ2 2003</stp>
        <stp>[FA1_j2ahgkxc.xlsx]Bal Sheet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3"/>
      </tp>
      <tp t="s">
        <v>—</v>
        <stp/>
        <stp>##V3_BDHV12</stp>
        <stp>AMZN US Equity</stp>
        <stp>INVTRY_IN_PROGRESS</stp>
        <stp>FQ4 2008</stp>
        <stp>FQ4 2008</stp>
        <stp>[FA1_j2ahgkxc.xlsx]Bal Sheet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3"/>
      </tp>
      <tp>
        <v>0</v>
        <stp/>
        <stp>##V3_BDHV12</stp>
        <stp>AMZN US Equity</stp>
        <stp>INVTRY_IN_PROGRESS</stp>
        <stp>FQ2 2005</stp>
        <stp>FQ2 2005</stp>
        <stp>[FA1_j2ahgkxc.xlsx]Bal Sheet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3"/>
      </tp>
      <tp>
        <v>21</v>
        <stp/>
        <stp>##V3_BDHV12</stp>
        <stp>AMZN US Equity</stp>
        <stp>IS_INT_EXPENSE</stp>
        <stp>FQ4 2007</stp>
        <stp>FQ4 2007</stp>
        <stp>[FA1_j2ahgkxc.xlsx]Income - Adjusted!R14C38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4" s="2"/>
      </tp>
      <tp>
        <v>0</v>
        <stp/>
        <stp>##V3_BDHV12</stp>
        <stp>AMZN US Equity</stp>
        <stp>INVTRY_IN_PROGRESS</stp>
        <stp>FQ1 2003</stp>
        <stp>FQ1 2003</stp>
        <stp>[FA1_j2ahgkxc.xlsx]Bal Sheet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3"/>
      </tp>
      <tp>
        <v>865.80200000000002</v>
        <stp/>
        <stp>##V3_BDHV12</stp>
        <stp>AMZN US Equity</stp>
        <stp>C&amp;CE_AND_STI_DETAILED</stp>
        <stp>FQ3 2002</stp>
        <stp>FQ3 2002</stp>
        <stp>[FA1_j2ahgkxc.xlsx]Bal Sheet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3"/>
      </tp>
      <tp>
        <v>823.57899999999995</v>
        <stp/>
        <stp>##V3_BDHV12</stp>
        <stp>AMZN US Equity</stp>
        <stp>C&amp;CE_AND_STI_DETAILED</stp>
        <stp>FQ2 2002</stp>
        <stp>FQ2 2002</stp>
        <stp>[FA1_j2ahgkxc.xlsx]Bal Sheet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3"/>
      </tp>
      <tp>
        <v>745.25800000000004</v>
        <stp/>
        <stp>##V3_BDHV12</stp>
        <stp>AMZN US Equity</stp>
        <stp>C&amp;CE_AND_STI_DETAILED</stp>
        <stp>FQ1 2002</stp>
        <stp>FQ1 2002</stp>
        <stp>[FA1_j2ahgkxc.xlsx]Bal Sheet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3"/>
      </tp>
      <tp>
        <v>1100.5219999999999</v>
        <stp/>
        <stp>##V3_BDHV12</stp>
        <stp>AMZN US Equity</stp>
        <stp>C&amp;CE_AND_STI_DETAILED</stp>
        <stp>FQ4 2000</stp>
        <stp>FQ4 2000</stp>
        <stp>[FA1_j2ahgkxc.xlsx]Bal Sheet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3"/>
      </tp>
      <tp>
        <v>642.97299999999996</v>
        <stp/>
        <stp>##V3_BDHV12</stp>
        <stp>AMZN US Equity</stp>
        <stp>C&amp;CE_AND_STI_DETAILED</stp>
        <stp>FQ1 2001</stp>
        <stp>FQ1 2001</stp>
        <stp>[FA1_j2ahgkxc.xlsx]Bal Sheet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3"/>
      </tp>
      <tp>
        <v>608.96900000000005</v>
        <stp/>
        <stp>##V3_BDHV12</stp>
        <stp>AMZN US Equity</stp>
        <stp>C&amp;CE_AND_STI_DETAILED</stp>
        <stp>FQ2 2001</stp>
        <stp>FQ2 2001</stp>
        <stp>[FA1_j2ahgkxc.xlsx]Bal Sheet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3"/>
      </tp>
      <tp>
        <v>668.1</v>
        <stp/>
        <stp>##V3_BDHV12</stp>
        <stp>AMZN US Equity</stp>
        <stp>C&amp;CE_AND_STI_DETAILED</stp>
        <stp>FQ3 2001</stp>
        <stp>FQ3 2001</stp>
        <stp>[FA1_j2ahgkxc.xlsx]Bal Sheet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3"/>
      </tp>
      <tp>
        <v>996.58500000000004</v>
        <stp/>
        <stp>##V3_BDHV12</stp>
        <stp>AMZN US Equity</stp>
        <stp>C&amp;CE_AND_STI_DETAILED</stp>
        <stp>FQ4 2001</stp>
        <stp>FQ4 2001</stp>
        <stp>[FA1_j2ahgkxc.xlsx]Bal Sheet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3"/>
      </tp>
      <tp>
        <v>1300.9691</v>
        <stp/>
        <stp>##V3_BDHV12</stp>
        <stp>AMZN US Equity</stp>
        <stp>C&amp;CE_AND_STI_DETAILED</stp>
        <stp>FQ4 2002</stp>
        <stp>FQ4 2002</stp>
        <stp>[FA1_j2ahgkxc.xlsx]Bal Sheet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3"/>
      </tp>
      <tp>
        <v>-6.4804000000000004</v>
        <stp/>
        <stp>##V3_BDHV12</stp>
        <stp>AMZN US Equity</stp>
        <stp>CASH_CONVERSION_CYCLE</stp>
        <stp>FQ1 2008</stp>
        <stp>FQ1 2008</stp>
        <stp>[FA1_j2ahgkxc.xlsx]Bal Sheet - Standardized!R69C39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69" s="3"/>
      </tp>
      <tp>
        <v>-30.898299999999999</v>
        <stp/>
        <stp>##V3_BDHV12</stp>
        <stp>AMZN US Equity</stp>
        <stp>CASH_CONVERSION_CYCLE</stp>
        <stp>FQ4 2008</stp>
        <stp>FQ4 2008</stp>
        <stp>[FA1_j2ahgkxc.xlsx]Bal Sheet - Standardized!R69C42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69" s="3"/>
      </tp>
      <tp>
        <v>-7.9312000000000005</v>
        <stp/>
        <stp>##V3_BDHV12</stp>
        <stp>AMZN US Equity</stp>
        <stp>CASH_CONVERSION_CYCLE</stp>
        <stp>FQ2 2008</stp>
        <stp>FQ2 2008</stp>
        <stp>[FA1_j2ahgkxc.xlsx]Bal Sheet - Standardized!R69C40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69" s="3"/>
      </tp>
      <tp>
        <v>-9.2231000000000005</v>
        <stp/>
        <stp>##V3_BDHV12</stp>
        <stp>AMZN US Equity</stp>
        <stp>CASH_CONVERSION_CYCLE</stp>
        <stp>FQ3 2008</stp>
        <stp>FQ3 2008</stp>
        <stp>[FA1_j2ahgkxc.xlsx]Bal Sheet - Standardized!R69C41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69" s="3"/>
      </tp>
      <tp>
        <v>1082.5519999999999</v>
        <stp/>
        <stp>##V3_BDHV12</stp>
        <stp>AMZN US Equity</stp>
        <stp>C&amp;CE_AND_STI_DETAILED</stp>
        <stp>FQ1 2003</stp>
        <stp>FQ1 2003</stp>
        <stp>[FA1_j2ahgkxc.xlsx]Bal Sheet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3"/>
      </tp>
      <tp>
        <v>355.77699999999999</v>
        <stp/>
        <stp>##V3_BDHV12</stp>
        <stp>AMZN US Equity</stp>
        <stp>SALES_REV_TURN</stp>
        <stp>FQ3 1999</stp>
        <stp>FQ3 1999</stp>
        <stp>[FA1_j2ahgkxc.xlsx]Income - Adjusted!R6C6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293.64299999999997</v>
        <stp/>
        <stp>##V3_BDHV12</stp>
        <stp>AMZN US Equity</stp>
        <stp>SALES_REV_TURN</stp>
        <stp>FQ1 1999</stp>
        <stp>FQ1 1999</stp>
        <stp>[FA1_j2ahgkxc.xlsx]Income - Adjusted!R6C4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0</v>
        <stp/>
        <stp>##V3_BDHV12</stp>
        <stp>AMZN US Equity</stp>
        <stp>OTHER_NONCURRENT_LIABS_DETAILED</stp>
        <stp>FQ1 2004</stp>
        <stp>FQ1 2004</stp>
        <stp>[FA1_j2ahgkxc.xlsx]Bal Sheet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3"/>
      </tp>
      <tp>
        <v>0</v>
        <stp/>
        <stp>##V3_BDHV12</stp>
        <stp>AMZN US Equity</stp>
        <stp>OTHER_NONCURRENT_LIABS_DETAILED</stp>
        <stp>FQ2 2002</stp>
        <stp>FQ2 2002</stp>
        <stp>[FA1_j2ahgkxc.xlsx]Bal Sheet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3"/>
      </tp>
      <tp>
        <v>0</v>
        <stp/>
        <stp>##V3_BDHV12</stp>
        <stp>AMZN US Equity</stp>
        <stp>OTHER_NONCURRENT_LIABS_DETAILED</stp>
        <stp>FQ1 2005</stp>
        <stp>FQ1 2005</stp>
        <stp>[FA1_j2ahgkxc.xlsx]Bal Sheet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3"/>
      </tp>
      <tp t="s">
        <v>—</v>
        <stp/>
        <stp>##V3_BDHV12</stp>
        <stp>AMZN US Equity</stp>
        <stp>BS_TOTAL_CAPITAL_LEASES</stp>
        <stp>FQ4 2002</stp>
        <stp>FQ4 2002</stp>
        <stp>[FA1_j2ahgkxc.xlsx]Bal Sheet - Standardized!R62C18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2" s="3"/>
      </tp>
      <tp>
        <v>0</v>
        <stp/>
        <stp>##V3_BDHV12</stp>
        <stp>AMZN US Equity</stp>
        <stp>OTHER_NONCURRENT_LIABS_DETAILED</stp>
        <stp>FQ2 2001</stp>
        <stp>FQ2 2001</stp>
        <stp>[FA1_j2ahgkxc.xlsx]Bal Sheet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3"/>
      </tp>
      <tp t="s">
        <v>—</v>
        <stp/>
        <stp>##V3_BDHV12</stp>
        <stp>AMZN US Equity</stp>
        <stp>BS_TOTAL_CAPITAL_LEASES</stp>
        <stp>FQ4 2001</stp>
        <stp>FQ4 2001</stp>
        <stp>[FA1_j2ahgkxc.xlsx]Bal Sheet - Standardized!R62C14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2" s="3"/>
      </tp>
      <tp t="s">
        <v>—</v>
        <stp/>
        <stp>##V3_BDHV12</stp>
        <stp>AMZN US Equity</stp>
        <stp>BS_TOTAL_CAPITAL_LEASES</stp>
        <stp>FQ4 2000</stp>
        <stp>FQ4 2000</stp>
        <stp>[FA1_j2ahgkxc.xlsx]Bal Sheet - Standardized!R62C10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2" s="3"/>
      </tp>
      <tp>
        <v>0</v>
        <stp/>
        <stp>##V3_BDHV12</stp>
        <stp>AMZN US Equity</stp>
        <stp>INVTRY_IN_PROGRESS</stp>
        <stp>FQ1 2004</stp>
        <stp>FQ1 2004</stp>
        <stp>[FA1_j2ahgkxc.xlsx]Bal Sheet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3"/>
      </tp>
      <tp>
        <v>0</v>
        <stp/>
        <stp>##V3_BDHV12</stp>
        <stp>AMZN US Equity</stp>
        <stp>INVTRY_IN_PROGRESS</stp>
        <stp>FQ2 2002</stp>
        <stp>FQ2 2002</stp>
        <stp>[FA1_j2ahgkxc.xlsx]Bal Sheet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3"/>
      </tp>
      <tp t="s">
        <v>—</v>
        <stp/>
        <stp>##V3_BDHV12</stp>
        <stp>AMZN US Equity</stp>
        <stp>ACTUAL_SALES_PER_EMPL</stp>
        <stp>FQ1 1999</stp>
        <stp>FQ1 1999</stp>
        <stp>[FA1_j2ahgkxc.xlsx]Income - Adjusted!R53C4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3" s="2"/>
      </tp>
      <tp t="s">
        <v>—</v>
        <stp/>
        <stp>##V3_BDHV12</stp>
        <stp>AMZN US Equity</stp>
        <stp>ACTUAL_SALES_PER_EMPL</stp>
        <stp>FQ2 1999</stp>
        <stp>FQ2 1999</stp>
        <stp>[FA1_j2ahgkxc.xlsx]Income - Adjusted!R53C5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3" s="2"/>
      </tp>
      <tp t="s">
        <v>—</v>
        <stp/>
        <stp>##V3_BDHV12</stp>
        <stp>AMZN US Equity</stp>
        <stp>ACTUAL_SALES_PER_EMPL</stp>
        <stp>FQ3 1999</stp>
        <stp>FQ3 1999</stp>
        <stp>[FA1_j2ahgkxc.xlsx]Income - Adjusted!R53C6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3" s="2"/>
      </tp>
      <tp t="s">
        <v>—</v>
        <stp/>
        <stp>##V3_BDHV12</stp>
        <stp>AMZN US Equity</stp>
        <stp>ACTUAL_SALES_PER_EMPL</stp>
        <stp>FQ4 1999</stp>
        <stp>FQ4 1999</stp>
        <stp>[FA1_j2ahgkxc.xlsx]Income - Adjusted!R53C7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3" s="2"/>
      </tp>
      <tp>
        <v>0</v>
        <stp/>
        <stp>##V3_BDHV12</stp>
        <stp>AMZN US Equity</stp>
        <stp>INVTRY_IN_PROGRESS</stp>
        <stp>FQ1 2005</stp>
        <stp>FQ1 2005</stp>
        <stp>[FA1_j2ahgkxc.xlsx]Bal Sheet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3"/>
      </tp>
      <tp>
        <v>0</v>
        <stp/>
        <stp>##V3_BDHV12</stp>
        <stp>AMZN US Equity</stp>
        <stp>INVTRY_IN_PROGRESS</stp>
        <stp>FQ2 2001</stp>
        <stp>FQ2 2001</stp>
        <stp>[FA1_j2ahgkxc.xlsx]Bal Sheet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3"/>
      </tp>
      <tp>
        <v>22</v>
        <stp/>
        <stp>##V3_BDHV12</stp>
        <stp>AMZN US Equity</stp>
        <stp>IS_INT_EXPENSE</stp>
        <stp>FQ3 2005</stp>
        <stp>FQ3 2005</stp>
        <stp>[FA1_j2ahgkxc.xlsx]Income - Adjusted!R14C29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4" s="2"/>
      </tp>
      <tp>
        <v>411.09100000000001</v>
        <stp/>
        <stp>##V3_BDHV12</stp>
        <stp>AMZN US Equity</stp>
        <stp>IS_SH_FOR_DILUTED_EPS</stp>
        <stp>FQ1 2003</stp>
        <stp>FQ1 2003</stp>
        <stp>[FA1_j2ahgkxc.xlsx]Per Share!R7C19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5"/>
      </tp>
      <tp>
        <v>427</v>
        <stp/>
        <stp>##V3_BDHV12</stp>
        <stp>AMZN US Equity</stp>
        <stp>IS_SH_FOR_DILUTED_EPS</stp>
        <stp>FQ4 2007</stp>
        <stp>FQ4 2007</stp>
        <stp>[FA1_j2ahgkxc.xlsx]Per Share!R7C38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5"/>
      </tp>
      <tp>
        <v>1151</v>
        <stp/>
        <stp>##V3_BDHV12</stp>
        <stp>AMZN US Equity</stp>
        <stp>C&amp;CE_AND_STI_DETAILED</stp>
        <stp>FQ1 2005</stp>
        <stp>FQ1 2005</stp>
        <stp>[FA1_j2ahgkxc.xlsx]Bal Sheet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3"/>
      </tp>
      <tp>
        <v>1394.8228999999999</v>
        <stp/>
        <stp>##V3_BDHV12</stp>
        <stp>AMZN US Equity</stp>
        <stp>C&amp;CE_AND_STI_DETAILED</stp>
        <stp>FQ4 2003</stp>
        <stp>FQ4 2003</stp>
        <stp>[FA1_j2ahgkxc.xlsx]Bal Sheet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3"/>
      </tp>
      <tp>
        <v>1184.7</v>
        <stp/>
        <stp>##V3_BDHV12</stp>
        <stp>AMZN US Equity</stp>
        <stp>C&amp;CE_AND_STI_DETAILED</stp>
        <stp>FQ3 2004</stp>
        <stp>FQ3 2004</stp>
        <stp>[FA1_j2ahgkxc.xlsx]Bal Sheet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3"/>
      </tp>
      <tp>
        <v>1151.3510000000001</v>
        <stp/>
        <stp>##V3_BDHV12</stp>
        <stp>AMZN US Equity</stp>
        <stp>C&amp;CE_AND_STI_DETAILED</stp>
        <stp>FQ2 2004</stp>
        <stp>FQ2 2004</stp>
        <stp>[FA1_j2ahgkxc.xlsx]Bal Sheet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3"/>
      </tp>
      <tp>
        <v>416</v>
        <stp/>
        <stp>##V3_BDHV12</stp>
        <stp>AMZN US Equity</stp>
        <stp>IS_AVG_NUM_SH_FOR_EPS</stp>
        <stp>FQ4 2007</stp>
        <stp>FQ4 2007</stp>
        <stp>[FA1_j2ahgkxc.xlsx]Per Share!R8C38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5"/>
      </tp>
      <tp t="s">
        <v>—</v>
        <stp/>
        <stp>##V3_BDHV12</stp>
        <stp>AMZN US Equity</stp>
        <stp>PX_TO_FREE_CASH_FLOW</stp>
        <stp>FQ3 2000</stp>
        <stp>FQ3 2000</stp>
        <stp>[FA1_j2ahgkxc.xlsx]Cash Flow - Standardized!R53C9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3" s="4"/>
      </tp>
      <tp>
        <v>988.77200000000005</v>
        <stp/>
        <stp>##V3_BDHV12</stp>
        <stp>AMZN US Equity</stp>
        <stp>C&amp;CE_AND_STI_DETAILED</stp>
        <stp>FQ2 2003</stp>
        <stp>FQ2 2003</stp>
        <stp>[FA1_j2ahgkxc.xlsx]Bal Sheet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3"/>
      </tp>
      <tp>
        <v>1064.6600000000001</v>
        <stp/>
        <stp>##V3_BDHV12</stp>
        <stp>AMZN US Equity</stp>
        <stp>C&amp;CE_AND_STI_DETAILED</stp>
        <stp>FQ3 2003</stp>
        <stp>FQ3 2003</stp>
        <stp>[FA1_j2ahgkxc.xlsx]Bal Sheet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3"/>
      </tp>
      <tp>
        <v>1779.1990000000001</v>
        <stp/>
        <stp>##V3_BDHV12</stp>
        <stp>AMZN US Equity</stp>
        <stp>C&amp;CE_AND_STI_DETAILED</stp>
        <stp>FQ4 2004</stp>
        <stp>FQ4 2004</stp>
        <stp>[FA1_j2ahgkxc.xlsx]Bal Sheet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3"/>
      </tp>
      <tp>
        <v>998.14099999999996</v>
        <stp/>
        <stp>##V3_BDHV12</stp>
        <stp>AMZN US Equity</stp>
        <stp>C&amp;CE_AND_STI_DETAILED</stp>
        <stp>FQ1 2004</stp>
        <stp>FQ1 2004</stp>
        <stp>[FA1_j2ahgkxc.xlsx]Bal Sheet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3"/>
      </tp>
      <tp t="s">
        <v>—</v>
        <stp/>
        <stp>##V3_BDHV12</stp>
        <stp>AMZN US Equity</stp>
        <stp>PX_TO_FREE_CASH_FLOW</stp>
        <stp>FQ2 2000</stp>
        <stp>FQ2 2000</stp>
        <stp>[FA1_j2ahgkxc.xlsx]Cash Flow - Standardized!R53C8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3" s="4"/>
      </tp>
      <tp>
        <v>388.541</v>
        <stp/>
        <stp>##V3_BDHV12</stp>
        <stp>AMZN US Equity</stp>
        <stp>IS_AVG_NUM_SH_FOR_EPS</stp>
        <stp>FQ1 2003</stp>
        <stp>FQ1 2003</stp>
        <stp>[FA1_j2ahgkxc.xlsx]Per Share!R8C19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5"/>
      </tp>
      <tp>
        <v>1325</v>
        <stp/>
        <stp>##V3_BDHV12</stp>
        <stp>AMZN US Equity</stp>
        <stp>C&amp;CE_AND_STI_DETAILED</stp>
        <stp>FQ2 2005</stp>
        <stp>FQ2 2005</stp>
        <stp>[FA1_j2ahgkxc.xlsx]Bal Sheet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3"/>
      </tp>
      <tp>
        <v>1419</v>
        <stp/>
        <stp>##V3_BDHV12</stp>
        <stp>AMZN US Equity</stp>
        <stp>C&amp;CE_AND_STI_DETAILED</stp>
        <stp>FQ3 2005</stp>
        <stp>FQ3 2005</stp>
        <stp>[FA1_j2ahgkxc.xlsx]Bal Sheet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3"/>
      </tp>
      <tp>
        <v>0</v>
        <stp/>
        <stp>##V3_BDHV12</stp>
        <stp>AMZN US Equity</stp>
        <stp>OTHER_NONCURRENT_LIABS_DETAILED</stp>
        <stp>FQ1 2006</stp>
        <stp>FQ1 2006</stp>
        <stp>[FA1_j2ahgkxc.xlsx]Bal Sheet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3"/>
      </tp>
      <tp>
        <v>0</v>
        <stp/>
        <stp>##V3_BDHV12</stp>
        <stp>AMZN US Equity</stp>
        <stp>OTHER_NONCURRENT_LIABS_DETAILED</stp>
        <stp>FQ3 2002</stp>
        <stp>FQ3 2002</stp>
        <stp>[FA1_j2ahgkxc.xlsx]Bal Sheet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3"/>
      </tp>
      <tp>
        <v>210</v>
        <stp/>
        <stp>##V3_BDHV12</stp>
        <stp>AMZN US Equity</stp>
        <stp>OTHER_NONCURRENT_LIABS_DETAILED</stp>
        <stp>FQ1 2007</stp>
        <stp>FQ1 2007</stp>
        <stp>[FA1_j2ahgkxc.xlsx]Bal Sheet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3"/>
      </tp>
      <tp>
        <v>0</v>
        <stp/>
        <stp>##V3_BDHV12</stp>
        <stp>AMZN US Equity</stp>
        <stp>OTHER_NONCURRENT_LIABS_DETAILED</stp>
        <stp>FQ3 2001</stp>
        <stp>FQ3 2001</stp>
        <stp>[FA1_j2ahgkxc.xlsx]Bal Sheet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3"/>
      </tp>
      <tp>
        <v>395</v>
        <stp/>
        <stp>##V3_BDHV12</stp>
        <stp>AMZN US Equity</stp>
        <stp>OTHER_NONCURRENT_LIABS_DETAILED</stp>
        <stp>FQ1 2008</stp>
        <stp>FQ1 2008</stp>
        <stp>[FA1_j2ahgkxc.xlsx]Bal Sheet - Standardized!R44C39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4" s="3"/>
      </tp>
      <tp>
        <v>145.43700000000001</v>
        <stp/>
        <stp>##V3_BDHV12</stp>
        <stp>AMZN US Equity</stp>
        <stp>OTHER_NONCURRENT_ASSETS_DETAILED</stp>
        <stp>FQ3 2000</stp>
        <stp>FQ3 2000</stp>
        <stp>[FA1_j2ahgkxc.xlsx]Bal Sheet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3"/>
      </tp>
      <tp>
        <v>326.45999999999998</v>
        <stp/>
        <stp>##V3_BDHV12</stp>
        <stp>AMZN US Equity</stp>
        <stp>OTHER_NONCURRENT_ASSETS_DETAILED</stp>
        <stp>FQ1 2000</stp>
        <stp>FQ1 2000</stp>
        <stp>[FA1_j2ahgkxc.xlsx]Bal Sheet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3"/>
      </tp>
      <tp>
        <v>0</v>
        <stp/>
        <stp>##V3_BDHV12</stp>
        <stp>AMZN US Equity</stp>
        <stp>INVTRY_IN_PROGRESS</stp>
        <stp>FQ1 2006</stp>
        <stp>FQ1 2006</stp>
        <stp>[FA1_j2ahgkxc.xlsx]Bal Sheet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3"/>
      </tp>
      <tp>
        <v>0</v>
        <stp/>
        <stp>##V3_BDHV12</stp>
        <stp>AMZN US Equity</stp>
        <stp>INVTRY_IN_PROGRESS</stp>
        <stp>FQ3 2002</stp>
        <stp>FQ3 2002</stp>
        <stp>[FA1_j2ahgkxc.xlsx]Bal Sheet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3"/>
      </tp>
      <tp>
        <v>120370.4761</v>
        <stp/>
        <stp>##V3_BDHV12</stp>
        <stp>AMZN US Equity</stp>
        <stp>ACTUAL_SALES_PER_EMPL</stp>
        <stp>FQ4 1998</stp>
        <stp>FQ4 1998</stp>
        <stp>[FA1_j2ahgkxc.xlsx]Income - Adjusted!R53C3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3" s="2"/>
      </tp>
      <tp>
        <v>0</v>
        <stp/>
        <stp>##V3_BDHV12</stp>
        <stp>AMZN US Equity</stp>
        <stp>INVTRY_IN_PROGRESS</stp>
        <stp>FQ1 2007</stp>
        <stp>FQ1 2007</stp>
        <stp>[FA1_j2ahgkxc.xlsx]Bal Sheet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3"/>
      </tp>
      <tp>
        <v>0</v>
        <stp/>
        <stp>##V3_BDHV12</stp>
        <stp>AMZN US Equity</stp>
        <stp>INVTRY_IN_PROGRESS</stp>
        <stp>FQ1 2008</stp>
        <stp>FQ1 2008</stp>
        <stp>[FA1_j2ahgkxc.xlsx]Bal Sheet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3"/>
      </tp>
      <tp>
        <v>0</v>
        <stp/>
        <stp>##V3_BDHV12</stp>
        <stp>AMZN US Equity</stp>
        <stp>INVTRY_IN_PROGRESS</stp>
        <stp>FQ3 2001</stp>
        <stp>FQ3 2001</stp>
        <stp>[FA1_j2ahgkxc.xlsx]Bal Sheet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3"/>
      </tp>
      <tp>
        <v>22</v>
        <stp/>
        <stp>##V3_BDHV12</stp>
        <stp>AMZN US Equity</stp>
        <stp>IS_INT_EXPENSE</stp>
        <stp>FQ2 2005</stp>
        <stp>FQ2 2005</stp>
        <stp>[FA1_j2ahgkxc.xlsx]Income - Adjusted!R14C28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4" s="2"/>
      </tp>
      <tp t="s">
        <v>—</v>
        <stp/>
        <stp>##V3_BDHV12</stp>
        <stp>AMZN US Equity</stp>
        <stp>CF_CHANGE_IN_ACCOUNTS_PAYABLE</stp>
        <stp>FQ1 2000</stp>
        <stp>FQ1 2000</stp>
        <stp>[FA1_j2ahgkxc.xlsx]Cash Flow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4"/>
      </tp>
      <tp t="s">
        <v>—</v>
        <stp/>
        <stp>##V3_BDHV12</stp>
        <stp>AMZN US Equity</stp>
        <stp>CF_CHANGE_IN_ACCOUNTS_PAYABLE</stp>
        <stp>FQ2 2000</stp>
        <stp>FQ2 2000</stp>
        <stp>[FA1_j2ahgkxc.xlsx]Cash Flow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4"/>
      </tp>
      <tp t="s">
        <v>—</v>
        <stp/>
        <stp>##V3_BDHV12</stp>
        <stp>AMZN US Equity</stp>
        <stp>CF_CHANGE_IN_ACCOUNTS_PAYABLE</stp>
        <stp>FQ3 2000</stp>
        <stp>FQ3 2000</stp>
        <stp>[FA1_j2ahgkxc.xlsx]Cash Flow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4"/>
      </tp>
      <tp>
        <v>436</v>
        <stp/>
        <stp>##V3_BDHV12</stp>
        <stp>AMZN US Equity</stp>
        <stp>IS_SH_FOR_DILUTED_EPS</stp>
        <stp>FQ3 2008</stp>
        <stp>FQ3 2008</stp>
        <stp>[FA1_j2ahgkxc.xlsx]Per Share!R7C41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5"/>
      </tp>
      <tp>
        <v>430</v>
        <stp/>
        <stp>##V3_BDHV12</stp>
        <stp>AMZN US Equity</stp>
        <stp>IS_SH_FOR_DILUTED_EPS</stp>
        <stp>FQ2 2008</stp>
        <stp>FQ2 2008</stp>
        <stp>[FA1_j2ahgkxc.xlsx]Per Share!R7C40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5"/>
      </tp>
      <tp>
        <v>-0.25</v>
        <stp/>
        <stp>##V3_BDHV12</stp>
        <stp>AMZN US Equity</stp>
        <stp>IS_BASIC_EPS_CONT_OPS</stp>
        <stp>FQ3 2000</stp>
        <stp>FQ3 2000</stp>
        <stp>[FA1_j2ahgkxc.xlsx]Per Share!R16C9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6" s="5"/>
      </tp>
      <tp>
        <v>2000</v>
        <stp/>
        <stp>##V3_BDHV12</stp>
        <stp>AMZN US Equity</stp>
        <stp>C&amp;CE_AND_STI_DETAILED</stp>
        <stp>FQ4 2005</stp>
        <stp>FQ4 2005</stp>
        <stp>[FA1_j2ahgkxc.xlsx]Bal Sheet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3"/>
      </tp>
      <tp>
        <v>1665</v>
        <stp/>
        <stp>##V3_BDHV12</stp>
        <stp>AMZN US Equity</stp>
        <stp>C&amp;CE_AND_STI_DETAILED</stp>
        <stp>FQ2 2007</stp>
        <stp>FQ2 2007</stp>
        <stp>[FA1_j2ahgkxc.xlsx]Bal Sheet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3"/>
      </tp>
      <tp>
        <v>1909</v>
        <stp/>
        <stp>##V3_BDHV12</stp>
        <stp>AMZN US Equity</stp>
        <stp>C&amp;CE_AND_STI_DETAILED</stp>
        <stp>FQ3 2007</stp>
        <stp>FQ3 2007</stp>
        <stp>[FA1_j2ahgkxc.xlsx]Bal Sheet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3"/>
      </tp>
      <tp>
        <v>1420</v>
        <stp/>
        <stp>##V3_BDHV12</stp>
        <stp>AMZN US Equity</stp>
        <stp>C&amp;CE_AND_STI_DETAILED</stp>
        <stp>FQ1 2007</stp>
        <stp>FQ1 2007</stp>
        <stp>[FA1_j2ahgkxc.xlsx]Bal Sheet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3"/>
      </tp>
      <tp>
        <v>2019</v>
        <stp/>
        <stp>##V3_BDHV12</stp>
        <stp>AMZN US Equity</stp>
        <stp>C&amp;CE_AND_STI_DETAILED</stp>
        <stp>FQ4 2006</stp>
        <stp>FQ4 2006</stp>
        <stp>[FA1_j2ahgkxc.xlsx]Bal Sheet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3"/>
      </tp>
      <tp>
        <v>1219</v>
        <stp/>
        <stp>##V3_BDHV12</stp>
        <stp>AMZN US Equity</stp>
        <stp>C&amp;CE_AND_STI_DETAILED</stp>
        <stp>FQ3 2006</stp>
        <stp>FQ3 2006</stp>
        <stp>[FA1_j2ahgkxc.xlsx]Bal Sheet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3"/>
      </tp>
      <tp>
        <v>1419</v>
        <stp/>
        <stp>##V3_BDHV12</stp>
        <stp>AMZN US Equity</stp>
        <stp>C&amp;CE_AND_STI_DETAILED</stp>
        <stp>FQ2 2006</stp>
        <stp>FQ2 2006</stp>
        <stp>[FA1_j2ahgkxc.xlsx]Bal Sheet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3"/>
      </tp>
      <tp>
        <v>1334</v>
        <stp/>
        <stp>##V3_BDHV12</stp>
        <stp>AMZN US Equity</stp>
        <stp>C&amp;CE_AND_STI_DETAILED</stp>
        <stp>FQ1 2006</stp>
        <stp>FQ1 2006</stp>
        <stp>[FA1_j2ahgkxc.xlsx]Bal Sheet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3"/>
      </tp>
      <tp>
        <v>3112</v>
        <stp/>
        <stp>##V3_BDHV12</stp>
        <stp>AMZN US Equity</stp>
        <stp>C&amp;CE_AND_STI_DETAILED</stp>
        <stp>FQ4 2007</stp>
        <stp>FQ4 2007</stp>
        <stp>[FA1_j2ahgkxc.xlsx]Bal Sheet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3"/>
      </tp>
      <tp>
        <v>420</v>
        <stp/>
        <stp>##V3_BDHV12</stp>
        <stp>AMZN US Equity</stp>
        <stp>IS_AVG_NUM_SH_FOR_EPS</stp>
        <stp>FQ2 2008</stp>
        <stp>FQ2 2008</stp>
        <stp>[FA1_j2ahgkxc.xlsx]Per Share!R8C40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5"/>
      </tp>
      <tp>
        <v>427</v>
        <stp/>
        <stp>##V3_BDHV12</stp>
        <stp>AMZN US Equity</stp>
        <stp>IS_AVG_NUM_SH_FOR_EPS</stp>
        <stp>FQ3 2008</stp>
        <stp>FQ3 2008</stp>
        <stp>[FA1_j2ahgkxc.xlsx]Per Share!R8C41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5"/>
      </tp>
      <tp>
        <v>2151</v>
        <stp/>
        <stp>##V3_BDHV12</stp>
        <stp>AMZN US Equity</stp>
        <stp>C&amp;CE_AND_STI_DETAILED</stp>
        <stp>FQ1 2008</stp>
        <stp>FQ1 2008</stp>
        <stp>[FA1_j2ahgkxc.xlsx]Bal Sheet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3"/>
      </tp>
      <tp t="s">
        <v>—</v>
        <stp/>
        <stp>##V3_BDHV12</stp>
        <stp>AMZN US Equity</stp>
        <stp>SHORT_TERM_DEBT_DETAILED</stp>
        <stp>FQ4 1999</stp>
        <stp>FQ4 1999</stp>
        <stp>[FA1_j2ahgkxc.xlsx]Bal Sheet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3"/>
      </tp>
      <tp t="s">
        <v>—</v>
        <stp/>
        <stp>##V3_BDHV12</stp>
        <stp>AMZN US Equity</stp>
        <stp>SHORT_TERM_DEBT_DETAILED</stp>
        <stp>FQ4 1998</stp>
        <stp>FQ4 1998</stp>
        <stp>[FA1_j2ahgkxc.xlsx]Bal Sheet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3"/>
      </tp>
      <tp t="s">
        <v>—</v>
        <stp/>
        <stp>##V3_BDHV12</stp>
        <stp>AMZN US Equity</stp>
        <stp>SHORT_TERM_DEBT_DETAILED</stp>
        <stp>FQ2 1999</stp>
        <stp>FQ2 1999</stp>
        <stp>[FA1_j2ahgkxc.xlsx]Bal Sheet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3"/>
      </tp>
      <tp t="s">
        <v>—</v>
        <stp/>
        <stp>##V3_BDHV12</stp>
        <stp>AMZN US Equity</stp>
        <stp>SHORT_TERM_DEBT_DETAILED</stp>
        <stp>FQ3 1999</stp>
        <stp>FQ3 1999</stp>
        <stp>[FA1_j2ahgkxc.xlsx]Bal Sheet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3"/>
      </tp>
      <tp t="s">
        <v>—</v>
        <stp/>
        <stp>##V3_BDHV12</stp>
        <stp>AMZN US Equity</stp>
        <stp>SHORT_TERM_DEBT_DETAILED</stp>
        <stp>FQ1 1999</stp>
        <stp>FQ1 1999</stp>
        <stp>[FA1_j2ahgkxc.xlsx]Bal Sheet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3"/>
      </tp>
      <tp>
        <v>-46.427</v>
        <stp/>
        <stp>##V3_BDHV12</stp>
        <stp>AMZN US Equity</stp>
        <stp>NET_INCOME</stp>
        <stp>FQ4 1998</stp>
        <stp>FQ4 1998</stp>
        <stp>[FA1_j2ahgkxc.xlsx]Income - Adjusted!R26C3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6" s="2"/>
      </tp>
      <tp>
        <v>676.04200000000003</v>
        <stp/>
        <stp>##V3_BDHV12</stp>
        <stp>AMZN US Equity</stp>
        <stp>SALES_REV_TURN</stp>
        <stp>FQ4 1999</stp>
        <stp>FQ4 1999</stp>
        <stp>[FA1_j2ahgkxc.xlsx]Income - Adjusted!R6C7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0</v>
        <stp/>
        <stp>##V3_BDHV12</stp>
        <stp>AMZN US Equity</stp>
        <stp>OTHER_NONCURRENT_LIABS_DETAILED</stp>
        <stp>FQ4 2000</stp>
        <stp>FQ4 2000</stp>
        <stp>[FA1_j2ahgkxc.xlsx]Bal Sheet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3"/>
      </tp>
      <tp>
        <v>0</v>
        <stp/>
        <stp>##V3_BDHV12</stp>
        <stp>AMZN US Equity</stp>
        <stp>OTHER_NONCURRENT_LIABS_DETAILED</stp>
        <stp>FQ4 2001</stp>
        <stp>FQ4 2001</stp>
        <stp>[FA1_j2ahgkxc.xlsx]Bal Sheet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3"/>
      </tp>
      <tp t="s">
        <v>—</v>
        <stp/>
        <stp>##V3_BDHV12</stp>
        <stp>AMZN US Equity</stp>
        <stp>BS_TOTAL_CAPITAL_LEASES</stp>
        <stp>FQ2 2001</stp>
        <stp>FQ2 2001</stp>
        <stp>[FA1_j2ahgkxc.xlsx]Bal Sheet - Standardized!R62C12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2" s="3"/>
      </tp>
      <tp>
        <v>0</v>
        <stp/>
        <stp>##V3_BDHV12</stp>
        <stp>AMZN US Equity</stp>
        <stp>OTHER_NONCURRENT_LIABS_DETAILED</stp>
        <stp>FQ4 2002</stp>
        <stp>FQ4 2002</stp>
        <stp>[FA1_j2ahgkxc.xlsx]Bal Sheet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3"/>
      </tp>
      <tp>
        <v>1.8</v>
        <stp/>
        <stp>##V3_BDHV12</stp>
        <stp>AMZN US Equity</stp>
        <stp>BS_TOTAL_CAPITAL_LEASES</stp>
        <stp>FQ1 2005</stp>
        <stp>FQ1 2005</stp>
        <stp>[FA1_j2ahgkxc.xlsx]Bal Sheet - Standardized!R62C27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2" s="3"/>
      </tp>
      <tp t="s">
        <v>—</v>
        <stp/>
        <stp>##V3_BDHV12</stp>
        <stp>AMZN US Equity</stp>
        <stp>BS_TOTAL_CAPITAL_LEASES</stp>
        <stp>FQ2 2002</stp>
        <stp>FQ2 2002</stp>
        <stp>[FA1_j2ahgkxc.xlsx]Bal Sheet - Standardized!R62C16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2" s="3"/>
      </tp>
      <tp t="s">
        <v>—</v>
        <stp/>
        <stp>##V3_BDHV12</stp>
        <stp>AMZN US Equity</stp>
        <stp>BS_TOTAL_CAPITAL_LEASES</stp>
        <stp>FQ1 2004</stp>
        <stp>FQ1 2004</stp>
        <stp>[FA1_j2ahgkxc.xlsx]Bal Sheet - Standardized!R62C23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2" s="3"/>
      </tp>
      <tp>
        <v>133.018</v>
        <stp/>
        <stp>##V3_BDHV12</stp>
        <stp>AMZN US Equity</stp>
        <stp>ACCT_PAYABLE_&amp;_ACCRUALS_DETAILED</stp>
        <stp>FQ1 1999</stp>
        <stp>FQ1 1999</stp>
        <stp>[FA1_j2ahgkxc.xlsx]Bal Sheet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3"/>
      </tp>
      <tp>
        <v>236.71100000000001</v>
        <stp/>
        <stp>##V3_BDHV12</stp>
        <stp>AMZN US Equity</stp>
        <stp>ACCT_PAYABLE_&amp;_ACCRUALS_DETAILED</stp>
        <stp>FQ3 1999</stp>
        <stp>FQ3 1999</stp>
        <stp>[FA1_j2ahgkxc.xlsx]Bal Sheet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3"/>
      </tp>
      <tp>
        <v>113.273</v>
        <stp/>
        <stp>##V3_BDHV12</stp>
        <stp>AMZN US Equity</stp>
        <stp>ACCT_PAYABLE_&amp;_ACCRUALS_DETAILED</stp>
        <stp>FQ4 1998</stp>
        <stp>FQ4 1998</stp>
        <stp>[FA1_j2ahgkxc.xlsx]Bal Sheet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3"/>
      </tp>
      <tp>
        <v>165.983</v>
        <stp/>
        <stp>##V3_BDHV12</stp>
        <stp>AMZN US Equity</stp>
        <stp>ACCT_PAYABLE_&amp;_ACCRUALS_DETAILED</stp>
        <stp>FQ2 1999</stp>
        <stp>FQ2 1999</stp>
        <stp>[FA1_j2ahgkxc.xlsx]Bal Sheet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3"/>
      </tp>
      <tp>
        <v>463.02600000000001</v>
        <stp/>
        <stp>##V3_BDHV12</stp>
        <stp>AMZN US Equity</stp>
        <stp>ACCT_PAYABLE_&amp;_ACCRUALS_DETAILED</stp>
        <stp>FQ4 1999</stp>
        <stp>FQ4 1999</stp>
        <stp>[FA1_j2ahgkxc.xlsx]Bal Sheet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3"/>
      </tp>
      <tp>
        <v>0</v>
        <stp/>
        <stp>##V3_BDHV12</stp>
        <stp>AMZN US Equity</stp>
        <stp>INVTRY_IN_PROGRESS</stp>
        <stp>FQ4 2000</stp>
        <stp>FQ4 2000</stp>
        <stp>[FA1_j2ahgkxc.xlsx]Bal Sheet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3"/>
      </tp>
      <tp>
        <v>0</v>
        <stp/>
        <stp>##V3_BDHV12</stp>
        <stp>AMZN US Equity</stp>
        <stp>INVTRY_IN_PROGRESS</stp>
        <stp>FQ4 2001</stp>
        <stp>FQ4 2001</stp>
        <stp>[FA1_j2ahgkxc.xlsx]Bal Sheet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3"/>
      </tp>
      <tp>
        <v>0</v>
        <stp/>
        <stp>##V3_BDHV12</stp>
        <stp>AMZN US Equity</stp>
        <stp>INVTRY_IN_PROGRESS</stp>
        <stp>FQ4 2002</stp>
        <stp>FQ4 2002</stp>
        <stp>[FA1_j2ahgkxc.xlsx]Bal Sheet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3"/>
      </tp>
      <tp>
        <v>36.107999999999997</v>
        <stp/>
        <stp>##V3_BDHV12</stp>
        <stp>AMZN US Equity</stp>
        <stp>IS_INT_EXPENSE</stp>
        <stp>FQ4 2002</stp>
        <stp>FQ4 2002</stp>
        <stp>[FA1_j2ahgkxc.xlsx]Income - Adjusted!R14C18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4" s="2"/>
      </tp>
      <tp>
        <v>12</v>
        <stp/>
        <stp>##V3_BDHV12</stp>
        <stp>AMZN US Equity</stp>
        <stp>IS_INT_EXPENSE</stp>
        <stp>FQ4 2008</stp>
        <stp>FQ4 2008</stp>
        <stp>[FA1_j2ahgkxc.xlsx]Income - Adjusted!R14C42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4" s="2"/>
      </tp>
      <tp>
        <v>36.511000000000003</v>
        <stp/>
        <stp>##V3_BDHV12</stp>
        <stp>AMZN US Equity</stp>
        <stp>IS_INT_EXPENSE</stp>
        <stp>FQ1 2003</stp>
        <stp>FQ1 2003</stp>
        <stp>[FA1_j2ahgkxc.xlsx]Income - Adjusted!R14C19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4" s="2"/>
      </tp>
      <tp t="s">
        <v>—</v>
        <stp/>
        <stp>##V3_BDHV12</stp>
        <stp>AMZN US Equity</stp>
        <stp>CF_ACT_CASH_PAID_FOR_INT_DEBT</stp>
        <stp>FQ4 1999</stp>
        <stp>FQ4 1999</stp>
        <stp>[FA1_j2ahgkxc.xlsx]Cash Flow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4"/>
      </tp>
      <tp t="s">
        <v>—</v>
        <stp/>
        <stp>##V3_BDHV12</stp>
        <stp>AMZN US Equity</stp>
        <stp>CF_ACT_CASH_PAID_FOR_INT_DEBT</stp>
        <stp>FQ1 1999</stp>
        <stp>FQ1 1999</stp>
        <stp>[FA1_j2ahgkxc.xlsx]Cash Flow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4"/>
      </tp>
      <tp t="s">
        <v>—</v>
        <stp/>
        <stp>##V3_BDHV12</stp>
        <stp>AMZN US Equity</stp>
        <stp>CF_ACT_CASH_PAID_FOR_INT_DEBT</stp>
        <stp>FQ2 1999</stp>
        <stp>FQ2 1999</stp>
        <stp>[FA1_j2ahgkxc.xlsx]Cash Flow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4"/>
      </tp>
      <tp t="s">
        <v>—</v>
        <stp/>
        <stp>##V3_BDHV12</stp>
        <stp>AMZN US Equity</stp>
        <stp>CF_ACT_CASH_PAID_FOR_INT_DEBT</stp>
        <stp>FQ3 1999</stp>
        <stp>FQ3 1999</stp>
        <stp>[FA1_j2ahgkxc.xlsx]Cash Flow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4"/>
      </tp>
      <tp>
        <v>3727</v>
        <stp/>
        <stp>##V3_BDHV12</stp>
        <stp>AMZN US Equity</stp>
        <stp>C&amp;CE_AND_STI_DETAILED</stp>
        <stp>FQ4 2008</stp>
        <stp>FQ4 2008</stp>
        <stp>[FA1_j2ahgkxc.xlsx]Bal Sheet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3"/>
      </tp>
      <tp>
        <v>2324</v>
        <stp/>
        <stp>##V3_BDHV12</stp>
        <stp>AMZN US Equity</stp>
        <stp>C&amp;CE_AND_STI_DETAILED</stp>
        <stp>FQ3 2008</stp>
        <stp>FQ3 2008</stp>
        <stp>[FA1_j2ahgkxc.xlsx]Bal Sheet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3"/>
      </tp>
      <tp>
        <v>2380</v>
        <stp/>
        <stp>##V3_BDHV12</stp>
        <stp>AMZN US Equity</stp>
        <stp>C&amp;CE_AND_STI_DETAILED</stp>
        <stp>FQ2 2008</stp>
        <stp>FQ2 2008</stp>
        <stp>[FA1_j2ahgkxc.xlsx]Bal Sheet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3"/>
      </tp>
      <tp>
        <v>2254.627</v>
        <stp/>
        <stp>##V3_BDHV12</stp>
        <stp>AMZN US Equity</stp>
        <stp>TOT_LIAB_AND_EQY</stp>
        <stp>FQ3 2000</stp>
        <stp>FQ3 2000</stp>
        <stp>[FA1_j2ahgkxc.xlsx]Bal Sheet - Standardized!R55C9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3"/>
      </tp>
      <tp>
        <v>2729.7429999999999</v>
        <stp/>
        <stp>##V3_BDHV12</stp>
        <stp>AMZN US Equity</stp>
        <stp>TOT_LIAB_AND_EQY</stp>
        <stp>FQ1 2000</stp>
        <stp>FQ1 2000</stp>
        <stp>[FA1_j2ahgkxc.xlsx]Bal Sheet - Standardized!R55C8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3"/>
      </tp>
      <tp>
        <v>-138.00800000000001</v>
        <stp/>
        <stp>##V3_BDHV12</stp>
        <stp>AMZN US Equity</stp>
        <stp>NET_INCOME</stp>
        <stp>FQ2 1999</stp>
        <stp>FQ2 1999</stp>
        <stp>[FA1_j2ahgkxc.xlsx]Income - Adjusted!R26C5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6" s="2"/>
      </tp>
      <tp>
        <v>-240.524</v>
        <stp/>
        <stp>##V3_BDHV12</stp>
        <stp>AMZN US Equity</stp>
        <stp>PRETAX_INC</stp>
        <stp>FQ3 2000</stp>
        <stp>FQ3 2000</stp>
        <stp>[FA1_j2ahgkxc.xlsx]Income - Adjusted!R20C9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0" s="2"/>
      </tp>
      <tp>
        <v>112</v>
        <stp/>
        <stp>##V3_BDHV12</stp>
        <stp>AMZN US Equity</stp>
        <stp>BS_TOTAL_CAPITAL_LEASES</stp>
        <stp>FQ1 2008</stp>
        <stp>FQ1 2008</stp>
        <stp>[FA1_j2ahgkxc.xlsx]Bal Sheet - Standardized!R62C39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2" s="3"/>
      </tp>
      <tp t="s">
        <v>—</v>
        <stp/>
        <stp>##V3_BDHV12</stp>
        <stp>AMZN US Equity</stp>
        <stp>BS_TOTAL_CAPITAL_LEASES</stp>
        <stp>FQ3 2001</stp>
        <stp>FQ3 2001</stp>
        <stp>[FA1_j2ahgkxc.xlsx]Bal Sheet - Standardized!R62C13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2" s="3"/>
      </tp>
      <tp>
        <v>63</v>
        <stp/>
        <stp>##V3_BDHV12</stp>
        <stp>AMZN US Equity</stp>
        <stp>BS_TOTAL_CAPITAL_LEASES</stp>
        <stp>FQ1 2007</stp>
        <stp>FQ1 2007</stp>
        <stp>[FA1_j2ahgkxc.xlsx]Bal Sheet - Standardized!R62C35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2" s="3"/>
      </tp>
      <tp t="s">
        <v>—</v>
        <stp/>
        <stp>##V3_BDHV12</stp>
        <stp>AMZN US Equity</stp>
        <stp>BS_TOTAL_CAPITAL_LEASES</stp>
        <stp>FQ3 2002</stp>
        <stp>FQ3 2002</stp>
        <stp>[FA1_j2ahgkxc.xlsx]Bal Sheet - Standardized!R62C17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2" s="3"/>
      </tp>
      <tp>
        <v>12</v>
        <stp/>
        <stp>##V3_BDHV12</stp>
        <stp>AMZN US Equity</stp>
        <stp>BS_TOTAL_CAPITAL_LEASES</stp>
        <stp>FQ1 2006</stp>
        <stp>FQ1 2006</stp>
        <stp>[FA1_j2ahgkxc.xlsx]Bal Sheet - Standardized!R62C31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2" s="3"/>
      </tp>
      <tp t="s">
        <v>—</v>
        <stp/>
        <stp>##V3_BDHV12</stp>
        <stp>AMZN US Equity</stp>
        <stp>BS_ACCTS_REC_EXCL_NOTES_REC</stp>
        <stp>FQ3 2000</stp>
        <stp>FQ3 2000</stp>
        <stp>[FA1_j2ahgkxc.xlsx]Bal Sheet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3"/>
      </tp>
      <tp t="s">
        <v>—</v>
        <stp/>
        <stp>##V3_BDHV12</stp>
        <stp>AMZN US Equity</stp>
        <stp>BS_ACCTS_REC_EXCL_NOTES_REC</stp>
        <stp>FQ1 2000</stp>
        <stp>FQ1 2000</stp>
        <stp>[FA1_j2ahgkxc.xlsx]Bal Sheet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3"/>
      </tp>
      <tp>
        <v>1256.9580000000001</v>
        <stp/>
        <stp>##V3_BDHV12</stp>
        <stp>AMZN US Equity</stp>
        <stp>BS_CUR_ASSET_REPORT</stp>
        <stp>FQ2 1999</stp>
        <stp>FQ2 1999</stp>
        <stp>[FA1_j2ahgkxc.xlsx]Bal Sheet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3"/>
      </tp>
      <tp>
        <v>424.25400000000002</v>
        <stp/>
        <stp>##V3_BDHV12</stp>
        <stp>AMZN US Equity</stp>
        <stp>BS_CUR_ASSET_REPORT</stp>
        <stp>FQ4 1998</stp>
        <stp>FQ4 1998</stp>
        <stp>[FA1_j2ahgkxc.xlsx]Bal Sheet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1525.278</v>
        <stp/>
        <stp>##V3_BDHV12</stp>
        <stp>AMZN US Equity</stp>
        <stp>BS_CUR_ASSET_REPORT</stp>
        <stp>FQ1 1999</stp>
        <stp>FQ1 1999</stp>
        <stp>[FA1_j2ahgkxc.xlsx]Bal Sheet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1080.068</v>
        <stp/>
        <stp>##V3_BDHV12</stp>
        <stp>AMZN US Equity</stp>
        <stp>BS_CUR_ASSET_REPORT</stp>
        <stp>FQ3 1999</stp>
        <stp>FQ3 1999</stp>
        <stp>[FA1_j2ahgkxc.xlsx]Bal Sheet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1012.178</v>
        <stp/>
        <stp>##V3_BDHV12</stp>
        <stp>AMZN US Equity</stp>
        <stp>BS_CUR_ASSET_REPORT</stp>
        <stp>FQ4 1999</stp>
        <stp>FQ4 1999</stp>
        <stp>[FA1_j2ahgkxc.xlsx]Bal Sheet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-308.42500000000001</v>
        <stp/>
        <stp>##V3_BDHV12</stp>
        <stp>AMZN US Equity</stp>
        <stp>PRETAX_INC</stp>
        <stp>FQ1 2000</stp>
        <stp>FQ1 2000</stp>
        <stp>[FA1_j2ahgkxc.xlsx]Income - Adjusted!R20C8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0" s="2"/>
      </tp>
      <tp>
        <v>153</v>
        <stp/>
        <stp>##V3_BDHV12</stp>
        <stp>AMZN US Equity</stp>
        <stp>OTHER_NONCURRENT_LIABS_DETAILED</stp>
        <stp>FQ4 2006</stp>
        <stp>FQ4 2006</stp>
        <stp>[FA1_j2ahgkxc.xlsx]Bal Sheet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3"/>
      </tp>
      <tp>
        <v>0</v>
        <stp/>
        <stp>##V3_BDHV12</stp>
        <stp>AMZN US Equity</stp>
        <stp>OTHER_NONCURRENT_LIABS_DETAILED</stp>
        <stp>FQ4 2005</stp>
        <stp>FQ4 2005</stp>
        <stp>[FA1_j2ahgkxc.xlsx]Bal Sheet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3"/>
      </tp>
      <tp>
        <v>1</v>
        <stp/>
        <stp>##V3_BDHV12</stp>
        <stp>AMZN US Equity</stp>
        <stp>BS_TOTAL_CAPITAL_LEASES</stp>
        <stp>FQ3 2005</stp>
        <stp>FQ3 2005</stp>
        <stp>[FA1_j2ahgkxc.xlsx]Bal Sheet - Standardized!R62C29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2" s="3"/>
      </tp>
      <tp t="s">
        <v>—</v>
        <stp/>
        <stp>##V3_BDHV12</stp>
        <stp>AMZN US Equity</stp>
        <stp>BS_TOTAL_CAPITAL_LEASES</stp>
        <stp>FQ3 2003</stp>
        <stp>FQ3 2003</stp>
        <stp>[FA1_j2ahgkxc.xlsx]Bal Sheet - Standardized!R62C21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2" s="3"/>
      </tp>
      <tp t="s">
        <v>—</v>
        <stp/>
        <stp>##V3_BDHV12</stp>
        <stp>AMZN US Equity</stp>
        <stp>BS_TOTAL_CAPITAL_LEASES</stp>
        <stp>FQ3 2004</stp>
        <stp>FQ3 2004</stp>
        <stp>[FA1_j2ahgkxc.xlsx]Bal Sheet - Standardized!R62C25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2" s="3"/>
      </tp>
      <tp>
        <v>64</v>
        <stp/>
        <stp>##V3_BDHV12</stp>
        <stp>AMZN US Equity</stp>
        <stp>BS_TOTAL_CAPITAL_LEASES</stp>
        <stp>FQ2 2007</stp>
        <stp>FQ2 2007</stp>
        <stp>[FA1_j2ahgkxc.xlsx]Bal Sheet - Standardized!R62C36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2" s="3"/>
      </tp>
      <tp>
        <v>292</v>
        <stp/>
        <stp>##V3_BDHV12</stp>
        <stp>AMZN US Equity</stp>
        <stp>OTHER_NONCURRENT_LIABS_DETAILED</stp>
        <stp>FQ4 2007</stp>
        <stp>FQ4 2007</stp>
        <stp>[FA1_j2ahgkxc.xlsx]Bal Sheet - Standardized!R44C38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4" s="3"/>
      </tp>
      <tp>
        <v>502</v>
        <stp/>
        <stp>##V3_BDHV12</stp>
        <stp>AMZN US Equity</stp>
        <stp>OTHER_NONCURRENT_LIABS_DETAILED</stp>
        <stp>FQ3 2008</stp>
        <stp>FQ3 2008</stp>
        <stp>[FA1_j2ahgkxc.xlsx]Bal Sheet - Standardized!R44C41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4" s="3"/>
      </tp>
      <tp>
        <v>0</v>
        <stp/>
        <stp>##V3_BDHV12</stp>
        <stp>AMZN US Equity</stp>
        <stp>BS_TOTAL_CAPITAL_LEASES</stp>
        <stp>FQ2 2006</stp>
        <stp>FQ2 2006</stp>
        <stp>[FA1_j2ahgkxc.xlsx]Bal Sheet - Standardized!R62C32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2" s="3"/>
      </tp>
      <tp>
        <v>0</v>
        <stp/>
        <stp>##V3_BDHV12</stp>
        <stp>AMZN US Equity</stp>
        <stp>INVTRY_IN_PROGRESS</stp>
        <stp>FQ4 2006</stp>
        <stp>FQ4 2006</stp>
        <stp>[FA1_j2ahgkxc.xlsx]Bal Sheet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3"/>
      </tp>
      <tp>
        <v>0</v>
        <stp/>
        <stp>##V3_BDHV12</stp>
        <stp>AMZN US Equity</stp>
        <stp>INVTRY_IN_PROGRESS</stp>
        <stp>FQ4 2005</stp>
        <stp>FQ4 2005</stp>
        <stp>[FA1_j2ahgkxc.xlsx]Bal Sheet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3"/>
      </tp>
      <tp>
        <v>21</v>
        <stp/>
        <stp>##V3_BDHV12</stp>
        <stp>AMZN US Equity</stp>
        <stp>IS_INT_EXPENSE</stp>
        <stp>FQ2 2008</stp>
        <stp>FQ2 2008</stp>
        <stp>[FA1_j2ahgkxc.xlsx]Income - Adjusted!R14C40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4" s="2"/>
      </tp>
      <tp>
        <v>0</v>
        <stp/>
        <stp>##V3_BDHV12</stp>
        <stp>AMZN US Equity</stp>
        <stp>INVTRY_IN_PROGRESS</stp>
        <stp>FQ3 2008</stp>
        <stp>FQ3 2008</stp>
        <stp>[FA1_j2ahgkxc.xlsx]Bal Sheet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3"/>
      </tp>
      <tp t="s">
        <v>—</v>
        <stp/>
        <stp>##V3_BDHV12</stp>
        <stp>AMZN US Equity</stp>
        <stp>INVTRY_IN_PROGRESS</stp>
        <stp>FQ4 2007</stp>
        <stp>FQ4 2007</stp>
        <stp>[FA1_j2ahgkxc.xlsx]Bal Sheet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3"/>
      </tp>
      <tp>
        <v>428</v>
        <stp/>
        <stp>##V3_BDHV12</stp>
        <stp>AMZN US Equity</stp>
        <stp>IS_SH_FOR_DILUTED_EPS</stp>
        <stp>FQ3 2005</stp>
        <stp>FQ3 2005</stp>
        <stp>[FA1_j2ahgkxc.xlsx]Per Share!R7C29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5"/>
      </tp>
      <tp>
        <v>425</v>
        <stp/>
        <stp>##V3_BDHV12</stp>
        <stp>AMZN US Equity</stp>
        <stp>IS_SH_FOR_DILUTED_EPS</stp>
        <stp>FQ2 2005</stp>
        <stp>FQ2 2005</stp>
        <stp>[FA1_j2ahgkxc.xlsx]Per Share!R7C28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5"/>
      </tp>
      <tp>
        <v>411</v>
        <stp/>
        <stp>##V3_BDHV12</stp>
        <stp>AMZN US Equity</stp>
        <stp>IS_AVG_NUM_SH_FOR_EPS</stp>
        <stp>FQ2 2005</stp>
        <stp>FQ2 2005</stp>
        <stp>[FA1_j2ahgkxc.xlsx]Per Share!R8C28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5"/>
      </tp>
      <tp>
        <v>413</v>
        <stp/>
        <stp>##V3_BDHV12</stp>
        <stp>AMZN US Equity</stp>
        <stp>IS_AVG_NUM_SH_FOR_EPS</stp>
        <stp>FQ3 2005</stp>
        <stp>FQ3 2005</stp>
        <stp>[FA1_j2ahgkxc.xlsx]Per Share!R8C29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5"/>
      </tp>
      <tp>
        <v>-197.08</v>
        <stp/>
        <stp>##V3_BDHV12</stp>
        <stp>AMZN US Equity</stp>
        <stp>NET_INCOME</stp>
        <stp>FQ3 1999</stp>
        <stp>FQ3 1999</stp>
        <stp>[FA1_j2ahgkxc.xlsx]Income - Adjusted!R26C6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6" s="2"/>
      </tp>
      <tp>
        <v>-61.667000000000002</v>
        <stp/>
        <stp>##V3_BDHV12</stp>
        <stp>AMZN US Equity</stp>
        <stp>NET_INCOME</stp>
        <stp>FQ1 1999</stp>
        <stp>FQ1 1999</stp>
        <stp>[FA1_j2ahgkxc.xlsx]Income - Adjusted!R26C4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6" s="2"/>
      </tp>
      <tp>
        <v>0</v>
        <stp/>
        <stp>##V3_BDHV12</stp>
        <stp>AMZN US Equity</stp>
        <stp>OTHER_NONCURRENT_LIABS_DETAILED</stp>
        <stp>FQ4 2004</stp>
        <stp>FQ4 2004</stp>
        <stp>[FA1_j2ahgkxc.xlsx]Bal Sheet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3"/>
      </tp>
      <tp>
        <v>0</v>
        <stp/>
        <stp>##V3_BDHV12</stp>
        <stp>AMZN US Equity</stp>
        <stp>OTHER_NONCURRENT_LIABS_DETAILED</stp>
        <stp>FQ4 2003</stp>
        <stp>FQ4 2003</stp>
        <stp>[FA1_j2ahgkxc.xlsx]Bal Sheet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3"/>
      </tp>
      <tp t="s">
        <v>—</v>
        <stp/>
        <stp>##V3_BDHV12</stp>
        <stp>AMZN US Equity</stp>
        <stp>BS_TOTAL_CAPITAL_LEASES</stp>
        <stp>FQ1 2003</stp>
        <stp>FQ1 2003</stp>
        <stp>[FA1_j2ahgkxc.xlsx]Bal Sheet - Standardized!R62C19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2" s="3"/>
      </tp>
      <tp>
        <v>261.58699999999999</v>
        <stp/>
        <stp>##V3_BDHV12</stp>
        <stp>AMZN US Equity</stp>
        <stp>OTHER_CURRENT_LIABS_SUB_DETAILED</stp>
        <stp>FQ4 1999</stp>
        <stp>FQ4 1999</stp>
        <stp>[FA1_j2ahgkxc.xlsx]Bal Sheet - Standardized!R37C7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3"/>
      </tp>
      <tp>
        <v>108.184</v>
        <stp/>
        <stp>##V3_BDHV12</stp>
        <stp>AMZN US Equity</stp>
        <stp>OTHER_CURRENT_LIABS_SUB_DETAILED</stp>
        <stp>FQ3 1999</stp>
        <stp>FQ3 1999</stp>
        <stp>[FA1_j2ahgkxc.xlsx]Bal Sheet - Standardized!R37C6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3"/>
      </tp>
      <tp>
        <v>61.381</v>
        <stp/>
        <stp>##V3_BDHV12</stp>
        <stp>AMZN US Equity</stp>
        <stp>OTHER_CURRENT_LIABS_SUB_DETAILED</stp>
        <stp>FQ1 1999</stp>
        <stp>FQ1 1999</stp>
        <stp>[FA1_j2ahgkxc.xlsx]Bal Sheet - Standardized!R37C4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3"/>
      </tp>
      <tp>
        <v>196</v>
        <stp/>
        <stp>##V3_BDHV12</stp>
        <stp>AMZN US Equity</stp>
        <stp>BS_TOTAL_CAPITAL_LEASES</stp>
        <stp>FQ4 2008</stp>
        <stp>FQ4 2008</stp>
        <stp>[FA1_j2ahgkxc.xlsx]Bal Sheet - Standardized!R62C42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2" s="3"/>
      </tp>
      <tp>
        <v>1.2</v>
        <stp/>
        <stp>##V3_BDHV12</stp>
        <stp>AMZN US Equity</stp>
        <stp>BS_TOTAL_CAPITAL_LEASES</stp>
        <stp>FQ2 2005</stp>
        <stp>FQ2 2005</stp>
        <stp>[FA1_j2ahgkxc.xlsx]Bal Sheet - Standardized!R62C28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2" s="3"/>
      </tp>
      <tp>
        <v>47.618000000000002</v>
        <stp/>
        <stp>##V3_BDHV12</stp>
        <stp>AMZN US Equity</stp>
        <stp>OTHER_CURRENT_LIABS_SUB_DETAILED</stp>
        <stp>FQ4 1998</stp>
        <stp>FQ4 1998</stp>
        <stp>[FA1_j2ahgkxc.xlsx]Bal Sheet - Standardized!R37C3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3"/>
      </tp>
      <tp>
        <v>102.08799999999999</v>
        <stp/>
        <stp>##V3_BDHV12</stp>
        <stp>AMZN US Equity</stp>
        <stp>OTHER_CURRENT_LIABS_SUB_DETAILED</stp>
        <stp>FQ2 1999</stp>
        <stp>FQ2 1999</stp>
        <stp>[FA1_j2ahgkxc.xlsx]Bal Sheet - Standardized!R37C5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3"/>
      </tp>
      <tp t="s">
        <v>—</v>
        <stp/>
        <stp>##V3_BDHV12</stp>
        <stp>AMZN US Equity</stp>
        <stp>BS_TOTAL_CAPITAL_LEASES</stp>
        <stp>FQ1 2001</stp>
        <stp>FQ1 2001</stp>
        <stp>[FA1_j2ahgkxc.xlsx]Bal Sheet - Standardized!R62C11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2" s="3"/>
      </tp>
      <tp t="s">
        <v>—</v>
        <stp/>
        <stp>##V3_BDHV12</stp>
        <stp>AMZN US Equity</stp>
        <stp>BS_TOTAL_CAPITAL_LEASES</stp>
        <stp>FQ2 2003</stp>
        <stp>FQ2 2003</stp>
        <stp>[FA1_j2ahgkxc.xlsx]Bal Sheet - Standardized!R62C20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2" s="3"/>
      </tp>
      <tp t="s">
        <v>—</v>
        <stp/>
        <stp>##V3_BDHV12</stp>
        <stp>AMZN US Equity</stp>
        <stp>BS_TOTAL_CAPITAL_LEASES</stp>
        <stp>FQ2 2004</stp>
        <stp>FQ2 2004</stp>
        <stp>[FA1_j2ahgkxc.xlsx]Bal Sheet - Standardized!R62C24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2" s="3"/>
      </tp>
      <tp>
        <v>78</v>
        <stp/>
        <stp>##V3_BDHV12</stp>
        <stp>AMZN US Equity</stp>
        <stp>BS_TOTAL_CAPITAL_LEASES</stp>
        <stp>FQ3 2007</stp>
        <stp>FQ3 2007</stp>
        <stp>[FA1_j2ahgkxc.xlsx]Bal Sheet - Standardized!R62C37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2" s="3"/>
      </tp>
      <tp>
        <v>443</v>
        <stp/>
        <stp>##V3_BDHV12</stp>
        <stp>AMZN US Equity</stp>
        <stp>OTHER_NONCURRENT_LIABS_DETAILED</stp>
        <stp>FQ2 2008</stp>
        <stp>FQ2 2008</stp>
        <stp>[FA1_j2ahgkxc.xlsx]Bal Sheet - Standardized!R44C40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4" s="3"/>
      </tp>
      <tp t="s">
        <v>—</v>
        <stp/>
        <stp>##V3_BDHV12</stp>
        <stp>AMZN US Equity</stp>
        <stp>BS_TOTAL_CAPITAL_LEASES</stp>
        <stp>FQ1 2002</stp>
        <stp>FQ1 2002</stp>
        <stp>[FA1_j2ahgkxc.xlsx]Bal Sheet - Standardized!R62C15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2" s="3"/>
      </tp>
      <tp>
        <v>0</v>
        <stp/>
        <stp>##V3_BDHV12</stp>
        <stp>AMZN US Equity</stp>
        <stp>BS_TOTAL_CAPITAL_LEASES</stp>
        <stp>FQ3 2006</stp>
        <stp>FQ3 2006</stp>
        <stp>[FA1_j2ahgkxc.xlsx]Bal Sheet - Standardized!R62C33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2" s="3"/>
      </tp>
      <tp>
        <v>0</v>
        <stp/>
        <stp>##V3_BDHV12</stp>
        <stp>AMZN US Equity</stp>
        <stp>INVTRY_IN_PROGRESS</stp>
        <stp>FQ4 2004</stp>
        <stp>FQ4 2004</stp>
        <stp>[FA1_j2ahgkxc.xlsx]Bal Sheet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3"/>
      </tp>
      <tp>
        <v>0</v>
        <stp/>
        <stp>##V3_BDHV12</stp>
        <stp>AMZN US Equity</stp>
        <stp>INVTRY_IN_PROGRESS</stp>
        <stp>FQ4 2003</stp>
        <stp>FQ4 2003</stp>
        <stp>[FA1_j2ahgkxc.xlsx]Bal Sheet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3"/>
      </tp>
      <tp>
        <v>17</v>
        <stp/>
        <stp>##V3_BDHV12</stp>
        <stp>AMZN US Equity</stp>
        <stp>IS_INT_EXPENSE</stp>
        <stp>FQ3 2008</stp>
        <stp>FQ3 2008</stp>
        <stp>[FA1_j2ahgkxc.xlsx]Income - Adjusted!R14C41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4" s="2"/>
      </tp>
      <tp>
        <v>0</v>
        <stp/>
        <stp>##V3_BDHV12</stp>
        <stp>AMZN US Equity</stp>
        <stp>INVTRY_IN_PROGRESS</stp>
        <stp>FQ2 2008</stp>
        <stp>FQ2 2008</stp>
        <stp>[FA1_j2ahgkxc.xlsx]Bal Sheet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3"/>
      </tp>
      <tp>
        <v>27.539000000000001</v>
        <stp/>
        <stp>##V3_BDHV12</stp>
        <stp>AMZN US Equity</stp>
        <stp>PROC_FR_REPURCH_EQTY_DETAILED</stp>
        <stp>FQ4 1999</stp>
        <stp>FQ4 1999</stp>
        <stp>[FA1_j2ahgkxc.xlsx]Cash Flow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4"/>
      </tp>
      <tp>
        <v>6.54</v>
        <stp/>
        <stp>##V3_BDHV12</stp>
        <stp>AMZN US Equity</stp>
        <stp>PROC_FR_REPURCH_EQTY_DETAILED</stp>
        <stp>FQ1 1999</stp>
        <stp>FQ1 1999</stp>
        <stp>[FA1_j2ahgkxc.xlsx]Cash Flow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4"/>
      </tp>
      <tp>
        <v>15.086</v>
        <stp/>
        <stp>##V3_BDHV12</stp>
        <stp>AMZN US Equity</stp>
        <stp>PROC_FR_REPURCH_EQTY_DETAILED</stp>
        <stp>FQ2 1999</stp>
        <stp>FQ2 1999</stp>
        <stp>[FA1_j2ahgkxc.xlsx]Cash Flow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4"/>
      </tp>
      <tp>
        <v>15.304</v>
        <stp/>
        <stp>##V3_BDHV12</stp>
        <stp>AMZN US Equity</stp>
        <stp>PROC_FR_REPURCH_EQTY_DETAILED</stp>
        <stp>FQ3 1999</stp>
        <stp>FQ3 1999</stp>
        <stp>[FA1_j2ahgkxc.xlsx]Cash Flow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4"/>
      </tp>
      <tp>
        <v>436</v>
        <stp/>
        <stp>##V3_BDHV12</stp>
        <stp>AMZN US Equity</stp>
        <stp>IS_SH_FOR_DILUTED_EPS</stp>
        <stp>FQ4 2008</stp>
        <stp>FQ4 2008</stp>
        <stp>[FA1_j2ahgkxc.xlsx]Per Share!R7C42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5"/>
      </tp>
      <tp>
        <v>407.05599999999998</v>
        <stp/>
        <stp>##V3_BDHV12</stp>
        <stp>AMZN US Equity</stp>
        <stp>IS_SH_FOR_DILUTED_EPS</stp>
        <stp>FQ4 2002</stp>
        <stp>FQ4 2002</stp>
        <stp>[FA1_j2ahgkxc.xlsx]Per Share!R7C18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5"/>
      </tp>
      <tp t="s">
        <v>—</v>
        <stp/>
        <stp>##V3_BDHV12</stp>
        <stp>AMZN US Equity</stp>
        <stp>BS_GOODWILL</stp>
        <stp>FQ1 1999</stp>
        <stp>FQ1 1999</stp>
        <stp>[FA1_j2ahgkxc.xlsx]Bal Sheet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3"/>
      </tp>
      <tp t="s">
        <v>—</v>
        <stp/>
        <stp>##V3_BDHV12</stp>
        <stp>AMZN US Equity</stp>
        <stp>BS_GOODWILL</stp>
        <stp>FQ3 1999</stp>
        <stp>FQ3 1999</stp>
        <stp>[FA1_j2ahgkxc.xlsx]Bal Sheet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3"/>
      </tp>
      <tp t="s">
        <v>—</v>
        <stp/>
        <stp>##V3_BDHV12</stp>
        <stp>AMZN US Equity</stp>
        <stp>BS_GOODWILL</stp>
        <stp>FQ4 1998</stp>
        <stp>FQ4 1998</stp>
        <stp>[FA1_j2ahgkxc.xlsx]Bal Sheet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3"/>
      </tp>
      <tp t="s">
        <v>—</v>
        <stp/>
        <stp>##V3_BDHV12</stp>
        <stp>AMZN US Equity</stp>
        <stp>BS_GOODWILL</stp>
        <stp>FQ2 1999</stp>
        <stp>FQ2 1999</stp>
        <stp>[FA1_j2ahgkxc.xlsx]Bal Sheet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3"/>
      </tp>
      <tp t="s">
        <v>—</v>
        <stp/>
        <stp>##V3_BDHV12</stp>
        <stp>AMZN US Equity</stp>
        <stp>BS_GOODWILL</stp>
        <stp>FQ4 1999</stp>
        <stp>FQ4 1999</stp>
        <stp>[FA1_j2ahgkxc.xlsx]Bal Sheet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3"/>
      </tp>
      <tp>
        <v>383.702</v>
        <stp/>
        <stp>##V3_BDHV12</stp>
        <stp>AMZN US Equity</stp>
        <stp>IS_AVG_NUM_SH_FOR_EPS</stp>
        <stp>FQ4 2002</stp>
        <stp>FQ4 2002</stp>
        <stp>[FA1_j2ahgkxc.xlsx]Per Share!R8C18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5"/>
      </tp>
      <tp>
        <v>428</v>
        <stp/>
        <stp>##V3_BDHV12</stp>
        <stp>AMZN US Equity</stp>
        <stp>IS_AVG_NUM_SH_FOR_EPS</stp>
        <stp>FQ4 2008</stp>
        <stp>FQ4 2008</stp>
        <stp>[FA1_j2ahgkxc.xlsx]Per Share!R8C42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5"/>
      </tp>
      <tp>
        <v>876</v>
        <stp/>
        <stp>##V3_BDHV12</stp>
        <stp>AMZN US Equity</stp>
        <stp>ACCT_PAYABLE_&amp;_ACCRUALS_DETAILED</stp>
        <stp>FQ3 2005</stp>
        <stp>FQ3 2005</stp>
        <stp>[FA1_j2ahgkxc.xlsx]Bal Sheet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3"/>
      </tp>
      <tp>
        <v>8.6219999999999999</v>
        <stp/>
        <stp>##V3_BDHV12</stp>
        <stp>AMZN US Equity</stp>
        <stp>IS_INT_EXPENSE</stp>
        <stp>FQ4 1998</stp>
        <stp>FQ4 1998</stp>
        <stp>[FA1_j2ahgkxc.xlsx]Income - Adjusted!R14C3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>
        <v>943</v>
        <stp/>
        <stp>##V3_BDHV12</stp>
        <stp>AMZN US Equity</stp>
        <stp>ACCT_PAYABLE_&amp;_ACCRUALS_DETAILED</stp>
        <stp>FQ2 2006</stp>
        <stp>FQ2 2006</stp>
        <stp>[FA1_j2ahgkxc.xlsx]Bal Sheet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3"/>
      </tp>
      <tp>
        <v>499.18900000000002</v>
        <stp/>
        <stp>##V3_BDHV12</stp>
        <stp>AMZN US Equity</stp>
        <stp>ACCT_PAYABLE_&amp;_ACCRUALS_DETAILED</stp>
        <stp>FQ3 2003</stp>
        <stp>FQ3 2003</stp>
        <stp>[FA1_j2ahgkxc.xlsx]Bal Sheet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3"/>
      </tp>
      <tp>
        <v>1295</v>
        <stp/>
        <stp>##V3_BDHV12</stp>
        <stp>AMZN US Equity</stp>
        <stp>ACCT_PAYABLE_&amp;_ACCRUALS_DETAILED</stp>
        <stp>FQ2 2007</stp>
        <stp>FQ2 2007</stp>
        <stp>[FA1_j2ahgkxc.xlsx]Bal Sheet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3"/>
      </tp>
      <tp>
        <v>688.29700000000003</v>
        <stp/>
        <stp>##V3_BDHV12</stp>
        <stp>AMZN US Equity</stp>
        <stp>ACCT_PAYABLE_&amp;_ACCRUALS_DETAILED</stp>
        <stp>FQ3 2004</stp>
        <stp>FQ3 2004</stp>
        <stp>[FA1_j2ahgkxc.xlsx]Bal Sheet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3"/>
      </tp>
      <tp>
        <v>0</v>
        <stp/>
        <stp>##V3_BDHV12</stp>
        <stp>AMZN US Equity</stp>
        <stp>OTHER_INTANGIBLE_ASSETS_DETAILED</stp>
        <stp>FQ4 2006</stp>
        <stp>FQ4 2006</stp>
        <stp>[FA1_j2ahgkxc.xlsx]Bal Sheet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3"/>
      </tp>
      <tp>
        <v>250</v>
        <stp/>
        <stp>##V3_BDHV12</stp>
        <stp>AMZN US Equity</stp>
        <stp>OTHER_NONCURRENT_ASSETS_DETAILED</stp>
        <stp>FQ1 2006</stp>
        <stp>FQ1 2006</stp>
        <stp>[FA1_j2ahgkxc.xlsx]Bal Sheet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3"/>
      </tp>
      <tp>
        <v>48.014000000000003</v>
        <stp/>
        <stp>##V3_BDHV12</stp>
        <stp>AMZN US Equity</stp>
        <stp>OTHER_NONCURRENT_ASSETS_DETAILED</stp>
        <stp>FQ3 2002</stp>
        <stp>FQ3 2002</stp>
        <stp>[FA1_j2ahgkxc.xlsx]Bal Sheet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3"/>
      </tp>
      <tp>
        <v>51.311</v>
        <stp/>
        <stp>##V3_BDHV12</stp>
        <stp>AMZN US Equity</stp>
        <stp>OTHER_NONCURRENT_ASSETS_DETAILED</stp>
        <stp>FQ3 2001</stp>
        <stp>FQ3 2001</stp>
        <stp>[FA1_j2ahgkxc.xlsx]Bal Sheet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3"/>
      </tp>
      <tp>
        <v>11</v>
        <stp/>
        <stp>##V3_BDHV12</stp>
        <stp>AMZN US Equity</stp>
        <stp>OTHER_INTANGIBLE_ASSETS_DETAILED</stp>
        <stp>FQ4 2005</stp>
        <stp>FQ4 2005</stp>
        <stp>[FA1_j2ahgkxc.xlsx]Bal Sheet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3"/>
      </tp>
      <tp>
        <v>932</v>
        <stp/>
        <stp>##V3_BDHV12</stp>
        <stp>AMZN US Equity</stp>
        <stp>OTHER_NONCURRENT_ASSETS_DETAILED</stp>
        <stp>FQ1 2008</stp>
        <stp>FQ1 2008</stp>
        <stp>[FA1_j2ahgkxc.xlsx]Bal Sheet - Standardized!R27C39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3"/>
      </tp>
      <tp>
        <v>3.4024000000000001</v>
        <stp/>
        <stp>##V3_BDHV12</stp>
        <stp>AMZN US Equity</stp>
        <stp>CASH_ST_INVESTMENTS_PER_SH</stp>
        <stp>FQ2 1999</stp>
        <stp>FQ2 1999</stp>
        <stp>[FA1_j2ahgkxc.xlsx]Per Share!R25C5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5" s="5"/>
      </tp>
      <tp>
        <v>423</v>
        <stp/>
        <stp>##V3_BDHV12</stp>
        <stp>AMZN US Equity</stp>
        <stp>OTHER_NONCURRENT_ASSETS_DETAILED</stp>
        <stp>FQ1 2007</stp>
        <stp>FQ1 2007</stp>
        <stp>[FA1_j2ahgkxc.xlsx]Bal Sheet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3"/>
      </tp>
      <tp>
        <v>16.004999999999999</v>
        <stp/>
        <stp>##V3_BDHV12</stp>
        <stp>AMZN US Equity</stp>
        <stp>CF_NET_CHNG_CASH</stp>
        <stp>FQ2 2001</stp>
        <stp>FQ2 2001</stp>
        <stp>[FA1_j2ahgkxc.xlsx]Cash Flow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4"/>
      </tp>
      <tp>
        <v>-770</v>
        <stp/>
        <stp>##V3_BDHV12</stp>
        <stp>AMZN US Equity</stp>
        <stp>CF_NET_CHNG_CASH</stp>
        <stp>FQ1 2005</stp>
        <stp>FQ1 2005</stp>
        <stp>[FA1_j2ahgkxc.xlsx]Cash Flow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4"/>
      </tp>
      <tp>
        <v>-45.582000000000001</v>
        <stp/>
        <stp>##V3_BDHV12</stp>
        <stp>AMZN US Equity</stp>
        <stp>EBITDA</stp>
        <stp>FQ3 2000</stp>
        <stp>FQ3 2000</stp>
        <stp>[FA1_j2ahgkxc.xlsx]Income - Adjusted!R46C9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6" s="2"/>
      </tp>
      <tp>
        <v>0</v>
        <stp/>
        <stp>##V3_BDHV12</stp>
        <stp>AMZN US Equity</stp>
        <stp>OTHER_INTANGIBLE_ASSETS_DETAILED</stp>
        <stp>FQ3 2008</stp>
        <stp>FQ3 2008</stp>
        <stp>[FA1_j2ahgkxc.xlsx]Bal Sheet - Standardized!R26C41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3"/>
      </tp>
      <tp>
        <v>-333.68599999999998</v>
        <stp/>
        <stp>##V3_BDHV12</stp>
        <stp>AMZN US Equity</stp>
        <stp>CF_NET_CHNG_CASH</stp>
        <stp>FQ1 2004</stp>
        <stp>FQ1 2004</stp>
        <stp>[FA1_j2ahgkxc.xlsx]Cash Flow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4"/>
      </tp>
      <tp>
        <v>-26.251000000000001</v>
        <stp/>
        <stp>##V3_BDHV12</stp>
        <stp>AMZN US Equity</stp>
        <stp>CF_NET_CHNG_CASH</stp>
        <stp>FQ2 2002</stp>
        <stp>FQ2 2002</stp>
        <stp>[FA1_j2ahgkxc.xlsx]Cash Flow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4"/>
      </tp>
      <tp>
        <v>0</v>
        <stp/>
        <stp>##V3_BDHV12</stp>
        <stp>AMZN US Equity</stp>
        <stp>OTHER_INTANGIBLE_ASSETS_DETAILED</stp>
        <stp>FQ4 2007</stp>
        <stp>FQ4 2007</stp>
        <stp>[FA1_j2ahgkxc.xlsx]Bal Sheet - Standardized!R26C38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3"/>
      </tp>
      <tp>
        <v>735</v>
        <stp/>
        <stp>##V3_BDHV12</stp>
        <stp>AMZN US Equity</stp>
        <stp>BS_ACCT_PAYABLE</stp>
        <stp>FQ2 2005</stp>
        <stp>FQ2 2005</stp>
        <stp>[FA1_j2ahgkxc.xlsx]Bal Sheet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3"/>
      </tp>
      <tp>
        <v>3594</v>
        <stp/>
        <stp>##V3_BDHV12</stp>
        <stp>AMZN US Equity</stp>
        <stp>BS_ACCT_PAYABLE</stp>
        <stp>FQ4 2008</stp>
        <stp>FQ4 2008</stp>
        <stp>[FA1_j2ahgkxc.xlsx]Bal Sheet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3"/>
      </tp>
      <tp>
        <v>393.69600000000003</v>
        <stp/>
        <stp>##V3_BDHV12</stp>
        <stp>AMZN US Equity</stp>
        <stp>BS_ACCT_PAYABLE</stp>
        <stp>FQ1 2003</stp>
        <stp>FQ1 2003</stp>
        <stp>[FA1_j2ahgkxc.xlsx]Bal Sheet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3"/>
      </tp>
      <tp>
        <v>1196</v>
        <stp/>
        <stp>##V3_BDHV12</stp>
        <stp>AMZN US Equity</stp>
        <stp>BS_ACCT_PAYABLE</stp>
        <stp>FQ3 2006</stp>
        <stp>FQ3 2006</stp>
        <stp>[FA1_j2ahgkxc.xlsx]Bal Sheet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3"/>
      </tp>
      <tp>
        <v>314.61599999999999</v>
        <stp/>
        <stp>##V3_BDHV12</stp>
        <stp>AMZN US Equity</stp>
        <stp>BS_ACCT_PAYABLE</stp>
        <stp>FQ1 2002</stp>
        <stp>FQ1 2002</stp>
        <stp>[FA1_j2ahgkxc.xlsx]Bal Sheet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3"/>
      </tp>
      <tp>
        <v>-1.7761</v>
        <stp/>
        <stp>##V3_BDHV12</stp>
        <stp>AMZN US Equity</stp>
        <stp>TANG_BOOK_VAL_PER_SH</stp>
        <stp>FQ1 2000</stp>
        <stp>FQ1 2000</stp>
        <stp>[FA1_j2ahgkxc.xlsx]Per Share!R27C8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7" s="5"/>
      </tp>
      <tp>
        <v>1674</v>
        <stp/>
        <stp>##V3_BDHV12</stp>
        <stp>AMZN US Equity</stp>
        <stp>BS_ACCT_PAYABLE</stp>
        <stp>FQ3 2007</stp>
        <stp>FQ3 2007</stp>
        <stp>[FA1_j2ahgkxc.xlsx]Bal Sheet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3"/>
      </tp>
      <tp>
        <v>585.12400000000002</v>
        <stp/>
        <stp>##V3_BDHV12</stp>
        <stp>AMZN US Equity</stp>
        <stp>BS_ACCT_PAYABLE</stp>
        <stp>FQ2 2004</stp>
        <stp>FQ2 2004</stp>
        <stp>[FA1_j2ahgkxc.xlsx]Bal Sheet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3"/>
      </tp>
      <tp>
        <v>257.411</v>
        <stp/>
        <stp>##V3_BDHV12</stp>
        <stp>AMZN US Equity</stp>
        <stp>BS_ACCT_PAYABLE</stp>
        <stp>FQ1 2001</stp>
        <stp>FQ1 2001</stp>
        <stp>[FA1_j2ahgkxc.xlsx]Bal Sheet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3"/>
      </tp>
      <tp>
        <v>445.09800000000001</v>
        <stp/>
        <stp>##V3_BDHV12</stp>
        <stp>AMZN US Equity</stp>
        <stp>BS_ACCT_PAYABLE</stp>
        <stp>FQ2 2003</stp>
        <stp>FQ2 2003</stp>
        <stp>[FA1_j2ahgkxc.xlsx]Bal Sheet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3"/>
      </tp>
      <tp>
        <v>0</v>
        <stp/>
        <stp>##V3_BDHV12</stp>
        <stp>AMZN US Equity</stp>
        <stp>MINORITY_NONCONTROLLING_INTEREST</stp>
        <stp>FQ1 2000</stp>
        <stp>FQ1 2000</stp>
        <stp>[FA1_j2ahgkxc.xlsx]Bal Sheet - Standardized!R53C8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3" s="3"/>
      </tp>
      <tp>
        <v>0</v>
        <stp/>
        <stp>##V3_BDHV12</stp>
        <stp>AMZN US Equity</stp>
        <stp>MINORITY_NONCONTROLLING_INTEREST</stp>
        <stp>FQ3 2000</stp>
        <stp>FQ3 2000</stp>
        <stp>[FA1_j2ahgkxc.xlsx]Bal Sheet - Standardized!R53C9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3" s="3"/>
      </tp>
      <tp>
        <v>2907.7190000000001</v>
        <stp/>
        <stp>##V3_BDHV12</stp>
        <stp>AMZN US Equity</stp>
        <stp>BS_TOT_LIAB2</stp>
        <stp>FQ3 2003</stp>
        <stp>FQ3 2003</stp>
        <stp>[FA1_j2ahgkxc.xlsx]Bal Sheet - Standardized!R46C21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3"/>
      </tp>
      <tp>
        <v>3434</v>
        <stp/>
        <stp>##V3_BDHV12</stp>
        <stp>AMZN US Equity</stp>
        <stp>BS_TOT_LIAB2</stp>
        <stp>FQ2 2007</stp>
        <stp>FQ2 2007</stp>
        <stp>[FA1_j2ahgkxc.xlsx]Bal Sheet - Standardized!R46C36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3"/>
      </tp>
      <tp>
        <v>2829.7449999999999</v>
        <stp/>
        <stp>##V3_BDHV12</stp>
        <stp>AMZN US Equity</stp>
        <stp>BS_TOT_LIAB2</stp>
        <stp>FQ3 2004</stp>
        <stp>FQ3 2004</stp>
        <stp>[FA1_j2ahgkxc.xlsx]Bal Sheet - Standardized!R46C25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3"/>
      </tp>
      <tp>
        <v>130</v>
        <stp/>
        <stp>##V3_BDHV12</stp>
        <stp>AMZN US Equity</stp>
        <stp>EBITDA</stp>
        <stp>FQ2 2005</stp>
        <stp>FQ2 2005</stp>
        <stp>[FA1_j2ahgkxc.xlsx]Income - Adjusted!R46C28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6" s="2"/>
      </tp>
      <tp>
        <v>2782</v>
        <stp/>
        <stp>##V3_BDHV12</stp>
        <stp>AMZN US Equity</stp>
        <stp>BS_TOT_LIAB2</stp>
        <stp>FQ2 2006</stp>
        <stp>FQ2 2006</stp>
        <stp>[FA1_j2ahgkxc.xlsx]Bal Sheet - Standardized!R46C32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3"/>
      </tp>
      <tp>
        <v>52</v>
        <stp/>
        <stp>##V3_BDHV12</stp>
        <stp>AMZN US Equity</stp>
        <stp>NET_INCOME</stp>
        <stp>FQ2 2005</stp>
        <stp>FQ2 2005</stp>
        <stp>[FA1_j2ahgkxc.xlsx]Income - Adjusted!R26C28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6" s="2"/>
      </tp>
      <tp>
        <v>2826</v>
        <stp/>
        <stp>##V3_BDHV12</stp>
        <stp>AMZN US Equity</stp>
        <stp>BS_TOT_LIAB2</stp>
        <stp>FQ3 2005</stp>
        <stp>FQ3 2005</stp>
        <stp>[FA1_j2ahgkxc.xlsx]Bal Sheet - Standardized!R46C29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3"/>
      </tp>
      <tp>
        <v>-223.608</v>
        <stp/>
        <stp>##V3_BDHV12</stp>
        <stp>AMZN US Equity</stp>
        <stp>PRETAX_INC</stp>
        <stp>FQ1 2001</stp>
        <stp>FQ1 2001</stp>
        <stp>[FA1_j2ahgkxc.xlsx]Income - Adjusted!R20C11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0" s="2"/>
      </tp>
      <tp>
        <v>76.48</v>
        <stp/>
        <stp>##V3_BDHV12</stp>
        <stp>AMZN US Equity</stp>
        <stp>PRETAX_INC</stp>
        <stp>FQ2 2004</stp>
        <stp>FQ2 2004</stp>
        <stp>[FA1_j2ahgkxc.xlsx]Income - Adjusted!R20C24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0" s="2"/>
      </tp>
      <tp>
        <v>124</v>
        <stp/>
        <stp>##V3_BDHV12</stp>
        <stp>AMZN US Equity</stp>
        <stp>PRETAX_INC</stp>
        <stp>FQ3 2007</stp>
        <stp>FQ3 2007</stp>
        <stp>[FA1_j2ahgkxc.xlsx]Income - Adjusted!R20C37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0" s="2"/>
      </tp>
      <tp>
        <v>-545.14</v>
        <stp/>
        <stp>##V3_BDHV12</stp>
        <stp>AMZN US Equity</stp>
        <stp>PRETAX_INC</stp>
        <stp>FQ4 2000</stp>
        <stp>FQ4 2000</stp>
        <stp>[FA1_j2ahgkxc.xlsx]Income - Adjusted!R20C10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0" s="2"/>
      </tp>
      <tp>
        <v>899</v>
        <stp/>
        <stp>##V3_BDHV12</stp>
        <stp>AMZN US Equity</stp>
        <stp>IS_OPERATING_EXPN</stp>
        <stp>FQ4 2007</stp>
        <stp>FQ4 2007</stp>
        <stp>[FA1_j2ahgkxc.xlsx]Income - Adjusted!R9C38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9" s="2"/>
      </tp>
      <tp>
        <v>-0.21779999999999999</v>
        <stp/>
        <stp>##V3_BDHV12</stp>
        <stp>AMZN US Equity</stp>
        <stp>FREE_CASH_FLOW_PER_SH</stp>
        <stp>FQ4 1999</stp>
        <stp>FQ4 1999</stp>
        <stp>[FA1_j2ahgkxc.xlsx]Per Share!R23C7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3" s="5"/>
      </tp>
      <tp>
        <v>231.357</v>
        <stp/>
        <stp>##V3_BDHV12</stp>
        <stp>AMZN US Equity</stp>
        <stp>IS_OPERATING_EXPN</stp>
        <stp>FQ1 2003</stp>
        <stp>FQ1 2003</stp>
        <stp>[FA1_j2ahgkxc.xlsx]Income - Adjusted!R9C19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>
        <v>735</v>
        <stp/>
        <stp>##V3_BDHV12</stp>
        <stp>AMZN US Equity</stp>
        <stp>ACCT_PAYABLE_&amp;_ACCRUALS_DETAILED</stp>
        <stp>FQ2 2005</stp>
        <stp>FQ2 2005</stp>
        <stp>[FA1_j2ahgkxc.xlsx]Bal Sheet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3"/>
      </tp>
      <tp>
        <v>3594</v>
        <stp/>
        <stp>##V3_BDHV12</stp>
        <stp>AMZN US Equity</stp>
        <stp>ACCT_PAYABLE_&amp;_ACCRUALS_DETAILED</stp>
        <stp>FQ4 2008</stp>
        <stp>FQ4 2008</stp>
        <stp>[FA1_j2ahgkxc.xlsx]Bal Sheet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3"/>
      </tp>
      <tp>
        <v>393.69600000000003</v>
        <stp/>
        <stp>##V3_BDHV12</stp>
        <stp>AMZN US Equity</stp>
        <stp>ACCT_PAYABLE_&amp;_ACCRUALS_DETAILED</stp>
        <stp>FQ1 2003</stp>
        <stp>FQ1 2003</stp>
        <stp>[FA1_j2ahgkxc.xlsx]Bal Sheet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3"/>
      </tp>
      <tp>
        <v>0</v>
        <stp/>
        <stp>##V3_BDHV12</stp>
        <stp>AMZN US Equity</stp>
        <stp>BS_ACCT_NOTE_RCV</stp>
        <stp>FQ2 1999</stp>
        <stp>FQ2 1999</stp>
        <stp>[FA1_j2ahgkxc.xlsx]Bal Sheet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3"/>
      </tp>
      <tp>
        <v>0</v>
        <stp/>
        <stp>##V3_BDHV12</stp>
        <stp>AMZN US Equity</stp>
        <stp>BS_ACCT_NOTE_RCV</stp>
        <stp>FQ4 1998</stp>
        <stp>FQ4 1998</stp>
        <stp>[FA1_j2ahgkxc.xlsx]Bal Sheet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0</v>
        <stp/>
        <stp>##V3_BDHV12</stp>
        <stp>AMZN US Equity</stp>
        <stp>BS_ACCT_NOTE_RCV</stp>
        <stp>FQ1 1999</stp>
        <stp>FQ1 1999</stp>
        <stp>[FA1_j2ahgkxc.xlsx]Bal Sheet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0</v>
        <stp/>
        <stp>##V3_BDHV12</stp>
        <stp>AMZN US Equity</stp>
        <stp>BS_ACCT_NOTE_RCV</stp>
        <stp>FQ3 1999</stp>
        <stp>FQ3 1999</stp>
        <stp>[FA1_j2ahgkxc.xlsx]Bal Sheet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314.61599999999999</v>
        <stp/>
        <stp>##V3_BDHV12</stp>
        <stp>AMZN US Equity</stp>
        <stp>ACCT_PAYABLE_&amp;_ACCRUALS_DETAILED</stp>
        <stp>FQ1 2002</stp>
        <stp>FQ1 2002</stp>
        <stp>[FA1_j2ahgkxc.xlsx]Bal Sheet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3"/>
      </tp>
      <tp>
        <v>1196</v>
        <stp/>
        <stp>##V3_BDHV12</stp>
        <stp>AMZN US Equity</stp>
        <stp>ACCT_PAYABLE_&amp;_ACCRUALS_DETAILED</stp>
        <stp>FQ3 2006</stp>
        <stp>FQ3 2006</stp>
        <stp>[FA1_j2ahgkxc.xlsx]Bal Sheet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3"/>
      </tp>
      <tp>
        <v>28.434999999999999</v>
        <stp/>
        <stp>##V3_BDHV12</stp>
        <stp>AMZN US Equity</stp>
        <stp>IS_INT_EXPENSE</stp>
        <stp>FQ2 1999</stp>
        <stp>FQ2 1999</stp>
        <stp>[FA1_j2ahgkxc.xlsx]Income - Adjusted!R14C5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257.411</v>
        <stp/>
        <stp>##V3_BDHV12</stp>
        <stp>AMZN US Equity</stp>
        <stp>ACCT_PAYABLE_&amp;_ACCRUALS_DETAILED</stp>
        <stp>FQ1 2001</stp>
        <stp>FQ1 2001</stp>
        <stp>[FA1_j2ahgkxc.xlsx]Bal Sheet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3"/>
      </tp>
      <tp>
        <v>445.09800000000001</v>
        <stp/>
        <stp>##V3_BDHV12</stp>
        <stp>AMZN US Equity</stp>
        <stp>ACCT_PAYABLE_&amp;_ACCRUALS_DETAILED</stp>
        <stp>FQ2 2003</stp>
        <stp>FQ2 2003</stp>
        <stp>[FA1_j2ahgkxc.xlsx]Bal Sheet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3"/>
      </tp>
      <tp>
        <v>0</v>
        <stp/>
        <stp>##V3_BDHV12</stp>
        <stp>AMZN US Equity</stp>
        <stp>BS_ACCT_NOTE_RCV</stp>
        <stp>FQ4 1999</stp>
        <stp>FQ4 1999</stp>
        <stp>[FA1_j2ahgkxc.xlsx]Bal Sheet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1674</v>
        <stp/>
        <stp>##V3_BDHV12</stp>
        <stp>AMZN US Equity</stp>
        <stp>ACCT_PAYABLE_&amp;_ACCRUALS_DETAILED</stp>
        <stp>FQ3 2007</stp>
        <stp>FQ3 2007</stp>
        <stp>[FA1_j2ahgkxc.xlsx]Bal Sheet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3"/>
      </tp>
      <tp>
        <v>585.12400000000002</v>
        <stp/>
        <stp>##V3_BDHV12</stp>
        <stp>AMZN US Equity</stp>
        <stp>ACCT_PAYABLE_&amp;_ACCRUALS_DETAILED</stp>
        <stp>FQ2 2004</stp>
        <stp>FQ2 2004</stp>
        <stp>[FA1_j2ahgkxc.xlsx]Bal Sheet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3"/>
      </tp>
      <tp>
        <v>0.51800000000000002</v>
        <stp/>
        <stp>##V3_BDHV12</stp>
        <stp>AMZN US Equity</stp>
        <stp>OTHER_INTANGIBLE_ASSETS_DETAILED</stp>
        <stp>FQ4 2003</stp>
        <stp>FQ4 2003</stp>
        <stp>[FA1_j2ahgkxc.xlsx]Bal Sheet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3"/>
      </tp>
      <tp>
        <v>0</v>
        <stp/>
        <stp>##V3_BDHV12</stp>
        <stp>AMZN US Equity</stp>
        <stp>OTHER_INTANGIBLE_ASSETS_DETAILED</stp>
        <stp>FQ4 2004</stp>
        <stp>FQ4 2004</stp>
        <stp>[FA1_j2ahgkxc.xlsx]Bal Sheet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3"/>
      </tp>
      <tp>
        <v>46.39</v>
        <stp/>
        <stp>##V3_BDHV12</stp>
        <stp>AMZN US Equity</stp>
        <stp>OTHER_NONCURRENT_ASSETS_DETAILED</stp>
        <stp>FQ1 2004</stp>
        <stp>FQ1 2004</stp>
        <stp>[FA1_j2ahgkxc.xlsx]Bal Sheet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3"/>
      </tp>
      <tp>
        <v>50.334000000000003</v>
        <stp/>
        <stp>##V3_BDHV12</stp>
        <stp>AMZN US Equity</stp>
        <stp>OTHER_NONCURRENT_ASSETS_DETAILED</stp>
        <stp>FQ2 2002</stp>
        <stp>FQ2 2002</stp>
        <stp>[FA1_j2ahgkxc.xlsx]Bal Sheet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3"/>
      </tp>
      <tp>
        <v>65.632999999999996</v>
        <stp/>
        <stp>##V3_BDHV12</stp>
        <stp>AMZN US Equity</stp>
        <stp>OTHER_NONCURRENT_ASSETS_DETAILED</stp>
        <stp>FQ2 2001</stp>
        <stp>FQ2 2001</stp>
        <stp>[FA1_j2ahgkxc.xlsx]Bal Sheet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3"/>
      </tp>
      <tp>
        <v>1.1724000000000001</v>
        <stp/>
        <stp>##V3_BDHV12</stp>
        <stp>AMZN US Equity</stp>
        <stp>CASH_ST_INVESTMENTS_PER_SH</stp>
        <stp>FQ4 1998</stp>
        <stp>FQ4 1998</stp>
        <stp>[FA1_j2ahgkxc.xlsx]Per Share!R25C3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5" s="5"/>
      </tp>
      <tp>
        <v>272.3</v>
        <stp/>
        <stp>##V3_BDHV12</stp>
        <stp>AMZN US Equity</stp>
        <stp>OTHER_NONCURRENT_ASSETS_DETAILED</stp>
        <stp>FQ1 2005</stp>
        <stp>FQ1 2005</stp>
        <stp>[FA1_j2ahgkxc.xlsx]Bal Sheet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3"/>
      </tp>
      <tp>
        <v>-30.641999999999999</v>
        <stp/>
        <stp>##V3_BDHV12</stp>
        <stp>AMZN US Equity</stp>
        <stp>CF_NET_CHNG_CASH</stp>
        <stp>FQ3 2001</stp>
        <stp>FQ3 2001</stp>
        <stp>[FA1_j2ahgkxc.xlsx]Cash Flow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4"/>
      </tp>
      <tp>
        <v>1144.0630000000001</v>
        <stp/>
        <stp>##V3_BDHV12</stp>
        <stp>AMZN US Equity</stp>
        <stp>NET_DEBT</stp>
        <stp>FQ1 2000</stp>
        <stp>FQ1 2000</stp>
        <stp>[FA1_j2ahgkxc.xlsx]Bal Sheet - Standardized!R65C8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5" s="3"/>
      </tp>
      <tp>
        <v>-1043</v>
        <stp/>
        <stp>##V3_BDHV12</stp>
        <stp>AMZN US Equity</stp>
        <stp>CF_NET_CHNG_CASH</stp>
        <stp>FQ1 2008</stp>
        <stp>FQ1 2008</stp>
        <stp>[FA1_j2ahgkxc.xlsx]Cash Flow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4"/>
      </tp>
      <tp>
        <v>-274</v>
        <stp/>
        <stp>##V3_BDHV12</stp>
        <stp>AMZN US Equity</stp>
        <stp>CF_NET_CHNG_CASH</stp>
        <stp>FQ1 2007</stp>
        <stp>FQ1 2007</stp>
        <stp>[FA1_j2ahgkxc.xlsx]Cash Flow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4"/>
      </tp>
      <tp>
        <v>1199.886</v>
        <stp/>
        <stp>##V3_BDHV12</stp>
        <stp>AMZN US Equity</stp>
        <stp>NET_DEBT</stp>
        <stp>FQ3 2000</stp>
        <stp>FQ3 2000</stp>
        <stp>[FA1_j2ahgkxc.xlsx]Bal Sheet - Standardized!R65C9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5" s="3"/>
      </tp>
      <tp>
        <v>0</v>
        <stp/>
        <stp>##V3_BDHV12</stp>
        <stp>AMZN US Equity</stp>
        <stp>OTHER_INTANGIBLE_ASSETS_DETAILED</stp>
        <stp>FQ2 2008</stp>
        <stp>FQ2 2008</stp>
        <stp>[FA1_j2ahgkxc.xlsx]Bal Sheet - Standardized!R26C40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3"/>
      </tp>
      <tp>
        <v>-506</v>
        <stp/>
        <stp>##V3_BDHV12</stp>
        <stp>AMZN US Equity</stp>
        <stp>CF_NET_CHNG_CASH</stp>
        <stp>FQ1 2006</stp>
        <stp>FQ1 2006</stp>
        <stp>[FA1_j2ahgkxc.xlsx]Cash Flow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4"/>
      </tp>
      <tp>
        <v>57.125999999999998</v>
        <stp/>
        <stp>##V3_BDHV12</stp>
        <stp>AMZN US Equity</stp>
        <stp>CF_NET_CHNG_CASH</stp>
        <stp>FQ3 2002</stp>
        <stp>FQ3 2002</stp>
        <stp>[FA1_j2ahgkxc.xlsx]Cash Flow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4"/>
      </tp>
      <tp>
        <v>876</v>
        <stp/>
        <stp>##V3_BDHV12</stp>
        <stp>AMZN US Equity</stp>
        <stp>BS_ACCT_PAYABLE</stp>
        <stp>FQ3 2005</stp>
        <stp>FQ3 2005</stp>
        <stp>[FA1_j2ahgkxc.xlsx]Bal Sheet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3"/>
      </tp>
      <tp>
        <v>943</v>
        <stp/>
        <stp>##V3_BDHV12</stp>
        <stp>AMZN US Equity</stp>
        <stp>BS_ACCT_PAYABLE</stp>
        <stp>FQ2 2006</stp>
        <stp>FQ2 2006</stp>
        <stp>[FA1_j2ahgkxc.xlsx]Bal Sheet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3"/>
      </tp>
      <tp>
        <v>1295</v>
        <stp/>
        <stp>##V3_BDHV12</stp>
        <stp>AMZN US Equity</stp>
        <stp>BS_ACCT_PAYABLE</stp>
        <stp>FQ2 2007</stp>
        <stp>FQ2 2007</stp>
        <stp>[FA1_j2ahgkxc.xlsx]Bal Sheet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3"/>
      </tp>
      <tp>
        <v>688.29700000000003</v>
        <stp/>
        <stp>##V3_BDHV12</stp>
        <stp>AMZN US Equity</stp>
        <stp>BS_ACCT_PAYABLE</stp>
        <stp>FQ3 2004</stp>
        <stp>FQ3 2004</stp>
        <stp>[FA1_j2ahgkxc.xlsx]Bal Sheet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3"/>
      </tp>
      <tp>
        <v>499.18900000000002</v>
        <stp/>
        <stp>##V3_BDHV12</stp>
        <stp>AMZN US Equity</stp>
        <stp>BS_ACCT_PAYABLE</stp>
        <stp>FQ3 2003</stp>
        <stp>FQ3 2003</stp>
        <stp>[FA1_j2ahgkxc.xlsx]Bal Sheet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3"/>
      </tp>
      <tp>
        <v>-0.96</v>
        <stp/>
        <stp>##V3_BDHV12</stp>
        <stp>AMZN US Equity</stp>
        <stp>IS_DIL_EPS_BEF_XO</stp>
        <stp>FQ4 1999</stp>
        <stp>FQ4 1999</stp>
        <stp>[FA1_j2ahgkxc.xlsx]Income - Adjusted!R41C7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1" s="2"/>
      </tp>
      <tp>
        <v>2843.6898999999999</v>
        <stp/>
        <stp>##V3_BDHV12</stp>
        <stp>AMZN US Equity</stp>
        <stp>BS_TOT_LIAB2</stp>
        <stp>FQ2 2003</stp>
        <stp>FQ2 2003</stp>
        <stp>[FA1_j2ahgkxc.xlsx]Bal Sheet - Standardized!R46C20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3"/>
      </tp>
      <tp>
        <v>2723.5659999999998</v>
        <stp/>
        <stp>##V3_BDHV12</stp>
        <stp>AMZN US Equity</stp>
        <stp>BS_TOT_LIAB2</stp>
        <stp>FQ1 2001</stp>
        <stp>FQ1 2001</stp>
        <stp>[FA1_j2ahgkxc.xlsx]Bal Sheet - Standardized!R46C11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3"/>
      </tp>
      <tp>
        <v>3857</v>
        <stp/>
        <stp>##V3_BDHV12</stp>
        <stp>AMZN US Equity</stp>
        <stp>BS_TOT_LIAB2</stp>
        <stp>FQ3 2007</stp>
        <stp>FQ3 2007</stp>
        <stp>[FA1_j2ahgkxc.xlsx]Bal Sheet - Standardized!R46C37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3"/>
      </tp>
      <tp>
        <v>2678.9679999999998</v>
        <stp/>
        <stp>##V3_BDHV12</stp>
        <stp>AMZN US Equity</stp>
        <stp>BS_TOT_LIAB2</stp>
        <stp>FQ2 2004</stp>
        <stp>FQ2 2004</stp>
        <stp>[FA1_j2ahgkxc.xlsx]Bal Sheet - Standardized!R46C24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3"/>
      </tp>
      <tp>
        <v>85</v>
        <stp/>
        <stp>##V3_BDHV12</stp>
        <stp>AMZN US Equity</stp>
        <stp>EBITDA</stp>
        <stp>FQ3 2005</stp>
        <stp>FQ3 2005</stp>
        <stp>[FA1_j2ahgkxc.xlsx]Income - Adjusted!R46C29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6" s="2"/>
      </tp>
      <tp>
        <v>2809.3029999999999</v>
        <stp/>
        <stp>##V3_BDHV12</stp>
        <stp>AMZN US Equity</stp>
        <stp>BS_TOT_LIAB2</stp>
        <stp>FQ1 2002</stp>
        <stp>FQ1 2002</stp>
        <stp>[FA1_j2ahgkxc.xlsx]Bal Sheet - Standardized!R46C15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3"/>
      </tp>
      <tp>
        <v>3072</v>
        <stp/>
        <stp>##V3_BDHV12</stp>
        <stp>AMZN US Equity</stp>
        <stp>BS_TOT_LIAB2</stp>
        <stp>FQ3 2006</stp>
        <stp>FQ3 2006</stp>
        <stp>[FA1_j2ahgkxc.xlsx]Bal Sheet - Standardized!R46C33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3"/>
      </tp>
      <tp>
        <v>2994.9969000000001</v>
        <stp/>
        <stp>##V3_BDHV12</stp>
        <stp>AMZN US Equity</stp>
        <stp>BS_TOT_LIAB2</stp>
        <stp>FQ1 2003</stp>
        <stp>FQ1 2003</stp>
        <stp>[FA1_j2ahgkxc.xlsx]Bal Sheet - Standardized!R46C19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3"/>
      </tp>
      <tp>
        <v>30</v>
        <stp/>
        <stp>##V3_BDHV12</stp>
        <stp>AMZN US Equity</stp>
        <stp>NET_INCOME</stp>
        <stp>FQ3 2005</stp>
        <stp>FQ3 2005</stp>
        <stp>[FA1_j2ahgkxc.xlsx]Income - Adjusted!R26C29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6" s="2"/>
      </tp>
      <tp>
        <v>2665</v>
        <stp/>
        <stp>##V3_BDHV12</stp>
        <stp>AMZN US Equity</stp>
        <stp>BS_TOT_LIAB2</stp>
        <stp>FQ2 2005</stp>
        <stp>FQ2 2005</stp>
        <stp>[FA1_j2ahgkxc.xlsx]Bal Sheet - Standardized!R46C28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3"/>
      </tp>
      <tp>
        <v>5642</v>
        <stp/>
        <stp>##V3_BDHV12</stp>
        <stp>AMZN US Equity</stp>
        <stp>BS_TOT_LIAB2</stp>
        <stp>FQ4 2008</stp>
        <stp>FQ4 2008</stp>
        <stp>[FA1_j2ahgkxc.xlsx]Bal Sheet - Standardized!R46C42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3"/>
      </tp>
      <tp>
        <v>205</v>
        <stp/>
        <stp>##V3_BDHV12</stp>
        <stp>AMZN US Equity</stp>
        <stp>PRETAX_INC</stp>
        <stp>FQ1 2008</stp>
        <stp>FQ1 2008</stp>
        <stp>[FA1_j2ahgkxc.xlsx]Income - Adjusted!R20C39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0" s="2"/>
      </tp>
      <tp>
        <v>111</v>
        <stp/>
        <stp>##V3_BDHV12</stp>
        <stp>AMZN US Equity</stp>
        <stp>PRETAX_INC</stp>
        <stp>FQ2 2007</stp>
        <stp>FQ2 2007</stp>
        <stp>[FA1_j2ahgkxc.xlsx]Income - Adjusted!R20C36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0" s="2"/>
      </tp>
      <tp>
        <v>54.146999999999998</v>
        <stp/>
        <stp>##V3_BDHV12</stp>
        <stp>AMZN US Equity</stp>
        <stp>PRETAX_INC</stp>
        <stp>FQ3 2004</stp>
        <stp>FQ3 2004</stp>
        <stp>[FA1_j2ahgkxc.xlsx]Income - Adjusted!R20C25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0" s="2"/>
      </tp>
      <tp>
        <v>73.153999999999996</v>
        <stp/>
        <stp>##V3_BDHV12</stp>
        <stp>AMZN US Equity</stp>
        <stp>PRETAX_INC</stp>
        <stp>FQ4 2003</stp>
        <stp>FQ4 2003</stp>
        <stp>[FA1_j2ahgkxc.xlsx]Income - Adjusted!R20C22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0" s="2"/>
      </tp>
      <tp>
        <v>0</v>
        <stp/>
        <stp>##V3_BDHV12</stp>
        <stp>AMZN US Equity</stp>
        <stp>BS_AMT_OF_TSY_STOCK</stp>
        <stp>FQ3 2000</stp>
        <stp>FQ3 2000</stp>
        <stp>[FA1_j2ahgkxc.xlsx]Bal Sheet - Standardized!R49C9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9" s="3"/>
      </tp>
      <tp>
        <v>750</v>
        <stp/>
        <stp>##V3_BDHV12</stp>
        <stp>AMZN US Equity</stp>
        <stp>IS_OPERATING_EXPN</stp>
        <stp>FQ2 2008</stp>
        <stp>FQ2 2008</stp>
        <stp>[FA1_j2ahgkxc.xlsx]Income - Adjusted!R9C40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9" s="2"/>
      </tp>
      <tp>
        <v>845</v>
        <stp/>
        <stp>##V3_BDHV12</stp>
        <stp>AMZN US Equity</stp>
        <stp>IS_OPERATING_EXPN</stp>
        <stp>FQ3 2008</stp>
        <stp>FQ3 2008</stp>
        <stp>[FA1_j2ahgkxc.xlsx]Income - Adjusted!R9C41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9" s="2"/>
      </tp>
      <tp>
        <v>0</v>
        <stp/>
        <stp>##V3_BDHV12</stp>
        <stp>AMZN US Equity</stp>
        <stp>BS_AMT_OF_TSY_STOCK</stp>
        <stp>FQ1 2000</stp>
        <stp>FQ1 2000</stp>
        <stp>[FA1_j2ahgkxc.xlsx]Bal Sheet - Standardized!R49C8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9" s="3"/>
      </tp>
      <tp>
        <v>647.19200000000001</v>
        <stp/>
        <stp>##V3_BDHV12</stp>
        <stp>AMZN US Equity</stp>
        <stp>BS_DISCLOSED_INTANGIBLES</stp>
        <stp>FQ1 2000</stp>
        <stp>FQ1 2000</stp>
        <stp>[FA1_j2ahgkxc.xlsx]Bal Sheet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520.47</v>
        <stp/>
        <stp>##V3_BDHV12</stp>
        <stp>AMZN US Equity</stp>
        <stp>BS_DISCLOSED_INTANGIBLES</stp>
        <stp>FQ3 2000</stp>
        <stp>FQ3 2000</stp>
        <stp>[FA1_j2ahgkxc.xlsx]Bal Sheet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3"/>
      </tp>
      <tp t="s">
        <v>—</v>
        <stp/>
        <stp>##V3_BDHV12</stp>
        <stp>AMZN US Equity</stp>
        <stp>EQY_FLOAT</stp>
        <stp>FQ2 2000</stp>
        <stp>FQ2 2000</stp>
        <stp>[FA1_j2ahgkxc.xlsx]Stock Value!R14C8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4" s="6"/>
      </tp>
      <tp>
        <v>296.36799999999999</v>
        <stp/>
        <stp>##V3_BDHV12</stp>
        <stp>AMZN US Equity</stp>
        <stp>ACCT_PAYABLE_&amp;_ACCRUALS_DETAILED</stp>
        <stp>FQ2 2002</stp>
        <stp>FQ2 2002</stp>
        <stp>[FA1_j2ahgkxc.xlsx]Bal Sheet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3"/>
      </tp>
      <tp>
        <v>567.56299999999999</v>
        <stp/>
        <stp>##V3_BDHV12</stp>
        <stp>AMZN US Equity</stp>
        <stp>ACCT_PAYABLE_&amp;_ACCRUALS_DETAILED</stp>
        <stp>FQ1 2004</stp>
        <stp>FQ1 2004</stp>
        <stp>[FA1_j2ahgkxc.xlsx]Bal Sheet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3"/>
      </tp>
      <tp>
        <v>257.976</v>
        <stp/>
        <stp>##V3_BDHV12</stp>
        <stp>AMZN US Equity</stp>
        <stp>ACCT_PAYABLE_&amp;_ACCRUALS_DETAILED</stp>
        <stp>FQ2 2001</stp>
        <stp>FQ2 2001</stp>
        <stp>[FA1_j2ahgkxc.xlsx]Bal Sheet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3"/>
      </tp>
      <tp>
        <v>704</v>
        <stp/>
        <stp>##V3_BDHV12</stp>
        <stp>AMZN US Equity</stp>
        <stp>ACCT_PAYABLE_&amp;_ACCRUALS_DETAILED</stp>
        <stp>FQ1 2005</stp>
        <stp>FQ1 2005</stp>
        <stp>[FA1_j2ahgkxc.xlsx]Bal Sheet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3"/>
      </tp>
      <tp t="s">
        <v>—</v>
        <stp/>
        <stp>##V3_BDHV12</stp>
        <stp>AMZN US Equity</stp>
        <stp>OTHER_INTANGIBLE_ASSETS_DETAILED</stp>
        <stp>FQ4 2000</stp>
        <stp>FQ4 2000</stp>
        <stp>[FA1_j2ahgkxc.xlsx]Bal Sheet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3"/>
      </tp>
      <tp>
        <v>1083.559</v>
        <stp/>
        <stp>##V3_BDHV12</stp>
        <stp>AMZN US Equity</stp>
        <stp>SALES_REV_TURN</stp>
        <stp>FQ1 2003</stp>
        <stp>FQ1 2003</stp>
        <stp>[FA1_j2ahgkxc.xlsx]Income - Adjusted!R6C19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310</v>
        <stp/>
        <stp>##V3_BDHV12</stp>
        <stp>AMZN US Equity</stp>
        <stp>OTHER_NONCURRENT_ASSETS_DETAILED</stp>
        <stp>FQ3 2006</stp>
        <stp>FQ3 2006</stp>
        <stp>[FA1_j2ahgkxc.xlsx]Bal Sheet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3"/>
      </tp>
      <tp>
        <v>56.712000000000003</v>
        <stp/>
        <stp>##V3_BDHV12</stp>
        <stp>AMZN US Equity</stp>
        <stp>OTHER_NONCURRENT_ASSETS_DETAILED</stp>
        <stp>FQ1 2002</stp>
        <stp>FQ1 2002</stp>
        <stp>[FA1_j2ahgkxc.xlsx]Bal Sheet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3"/>
      </tp>
      <tp>
        <v>54.804000000000002</v>
        <stp/>
        <stp>##V3_BDHV12</stp>
        <stp>AMZN US Equity</stp>
        <stp>OTHER_NONCURRENT_ASSETS_DETAILED</stp>
        <stp>FQ1 2001</stp>
        <stp>FQ1 2001</stp>
        <stp>[FA1_j2ahgkxc.xlsx]Bal Sheet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3"/>
      </tp>
      <tp>
        <v>38.716000000000001</v>
        <stp/>
        <stp>##V3_BDHV12</stp>
        <stp>AMZN US Equity</stp>
        <stp>OTHER_NONCURRENT_ASSETS_DETAILED</stp>
        <stp>FQ2 2003</stp>
        <stp>FQ2 2003</stp>
        <stp>[FA1_j2ahgkxc.xlsx]Bal Sheet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3"/>
      </tp>
      <tp>
        <v>34.381999999999998</v>
        <stp/>
        <stp>##V3_BDHV12</stp>
        <stp>AMZN US Equity</stp>
        <stp>OTHER_INTANGIBLE_ASSETS_DETAILED</stp>
        <stp>FQ4 2001</stp>
        <stp>FQ4 2001</stp>
        <stp>[FA1_j2ahgkxc.xlsx]Bal Sheet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3"/>
      </tp>
      <tp>
        <v>2.6576</v>
        <stp/>
        <stp>##V3_BDHV12</stp>
        <stp>AMZN US Equity</stp>
        <stp>CASH_ST_INVESTMENTS_PER_SH</stp>
        <stp>FQ3 1999</stp>
        <stp>FQ3 1999</stp>
        <stp>[FA1_j2ahgkxc.xlsx]Per Share!R25C6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5" s="5"/>
      </tp>
      <tp>
        <v>4.4710000000000001</v>
        <stp/>
        <stp>##V3_BDHV12</stp>
        <stp>AMZN US Equity</stp>
        <stp>CASH_ST_INVESTMENTS_PER_SH</stp>
        <stp>FQ1 1999</stp>
        <stp>FQ1 1999</stp>
        <stp>[FA1_j2ahgkxc.xlsx]Per Share!R25C4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5" s="5"/>
      </tp>
      <tp>
        <v>-29</v>
        <stp/>
        <stp>##V3_BDHV12</stp>
        <stp>AMZN US Equity</stp>
        <stp>CF_NET_CHNG_CASH</stp>
        <stp>FQ3 2005</stp>
        <stp>FQ3 2005</stp>
        <stp>[FA1_j2ahgkxc.xlsx]Cash Flow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4"/>
      </tp>
      <tp>
        <v>5673</v>
        <stp/>
        <stp>##V3_BDHV12</stp>
        <stp>AMZN US Equity</stp>
        <stp>SALES_REV_TURN</stp>
        <stp>FQ4 2007</stp>
        <stp>FQ4 2007</stp>
        <stp>[FA1_j2ahgkxc.xlsx]Income - Adjusted!R6C38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" s="2"/>
      </tp>
      <tp>
        <v>485</v>
        <stp/>
        <stp>##V3_BDHV12</stp>
        <stp>AMZN US Equity</stp>
        <stp>OTHER_NONCURRENT_ASSETS_DETAILED</stp>
        <stp>FQ3 2007</stp>
        <stp>FQ3 2007</stp>
        <stp>[FA1_j2ahgkxc.xlsx]Bal Sheet - Standardized!R27C37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3"/>
      </tp>
      <tp>
        <v>41.926000000000002</v>
        <stp/>
        <stp>##V3_BDHV12</stp>
        <stp>AMZN US Equity</stp>
        <stp>OTHER_NONCURRENT_ASSETS_DETAILED</stp>
        <stp>FQ2 2004</stp>
        <stp>FQ2 2004</stp>
        <stp>[FA1_j2ahgkxc.xlsx]Bal Sheet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3"/>
      </tp>
      <tp>
        <v>24.69</v>
        <stp/>
        <stp>##V3_BDHV12</stp>
        <stp>AMZN US Equity</stp>
        <stp>CF_NET_CHNG_CASH</stp>
        <stp>FQ3 2003</stp>
        <stp>FQ3 2003</stp>
        <stp>[FA1_j2ahgkxc.xlsx]Cash Flow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4"/>
      </tp>
      <tp>
        <v>256</v>
        <stp/>
        <stp>##V3_BDHV12</stp>
        <stp>AMZN US Equity</stp>
        <stp>CF_NET_CHNG_CASH</stp>
        <stp>FQ2 2007</stp>
        <stp>FQ2 2007</stp>
        <stp>[FA1_j2ahgkxc.xlsx]Cash Flow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4"/>
      </tp>
      <tp>
        <v>254</v>
        <stp/>
        <stp>##V3_BDHV12</stp>
        <stp>AMZN US Equity</stp>
        <stp>OTHER_NONCURRENT_ASSETS_DETAILED</stp>
        <stp>FQ2 2005</stp>
        <stp>FQ2 2005</stp>
        <stp>[FA1_j2ahgkxc.xlsx]Bal Sheet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3"/>
      </tp>
      <tp>
        <v>3.46</v>
        <stp/>
        <stp>##V3_BDHV12</stp>
        <stp>AMZN US Equity</stp>
        <stp>OTHER_INTANGIBLE_ASSETS_DETAILED</stp>
        <stp>FQ4 2002</stp>
        <stp>FQ4 2002</stp>
        <stp>[FA1_j2ahgkxc.xlsx]Bal Sheet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3"/>
      </tp>
      <tp>
        <v>44.457999999999998</v>
        <stp/>
        <stp>##V3_BDHV12</stp>
        <stp>AMZN US Equity</stp>
        <stp>CF_NET_CHNG_CASH</stp>
        <stp>FQ3 2004</stp>
        <stp>FQ3 2004</stp>
        <stp>[FA1_j2ahgkxc.xlsx]Cash Flow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4"/>
      </tp>
      <tp>
        <v>865</v>
        <stp/>
        <stp>##V3_BDHV12</stp>
        <stp>AMZN US Equity</stp>
        <stp>OTHER_NONCURRENT_ASSETS_DETAILED</stp>
        <stp>FQ4 2008</stp>
        <stp>FQ4 2008</stp>
        <stp>[FA1_j2ahgkxc.xlsx]Bal Sheet - Standardized!R27C42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3"/>
      </tp>
      <tp>
        <v>46.345999999999997</v>
        <stp/>
        <stp>##V3_BDHV12</stp>
        <stp>AMZN US Equity</stp>
        <stp>OTHER_NONCURRENT_ASSETS_DETAILED</stp>
        <stp>FQ1 2003</stp>
        <stp>FQ1 2003</stp>
        <stp>[FA1_j2ahgkxc.xlsx]Bal Sheet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3"/>
      </tp>
      <tp>
        <v>176</v>
        <stp/>
        <stp>##V3_BDHV12</stp>
        <stp>AMZN US Equity</stp>
        <stp>CF_NET_CHNG_CASH</stp>
        <stp>FQ2 2006</stp>
        <stp>FQ2 2006</stp>
        <stp>[FA1_j2ahgkxc.xlsx]Cash Flow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4"/>
      </tp>
      <tp>
        <v>16.010000000000002</v>
        <stp/>
        <stp>##V3_BDHV12</stp>
        <stp>AMZN US Equity</stp>
        <stp>PX_LOW</stp>
        <stp>FQ4 2002</stp>
        <stp>FQ4 2002</stp>
        <stp>[FA1_j2ahgkxc.xlsx]Stock Value!R10C18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0" s="6"/>
      </tp>
      <tp>
        <v>76.5</v>
        <stp/>
        <stp>##V3_BDHV12</stp>
        <stp>AMZN US Equity</stp>
        <stp>PX_LOW</stp>
        <stp>FQ4 2007</stp>
        <stp>FQ4 2007</stp>
        <stp>[FA1_j2ahgkxc.xlsx]Stock Value!R10C38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0" s="6"/>
      </tp>
      <tp>
        <v>158</v>
        <stp/>
        <stp>##V3_BDHV12</stp>
        <stp>AMZN US Equity</stp>
        <stp>IS_INC_BEF_XO_ITEM</stp>
        <stp>FQ2 2008</stp>
        <stp>FQ2 2008</stp>
        <stp>[FA1_j2ahgkxc.xlsx]Income - Adjusted!R22C40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2"/>
      </tp>
      <tp>
        <v>920</v>
        <stp/>
        <stp>##V3_BDHV12</stp>
        <stp>AMZN US Equity</stp>
        <stp>BS_ACCT_PAYABLE</stp>
        <stp>FQ1 2006</stp>
        <stp>FQ1 2006</stp>
        <stp>[FA1_j2ahgkxc.xlsx]Bal Sheet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3"/>
      </tp>
      <tp>
        <v>347.51900000000001</v>
        <stp/>
        <stp>##V3_BDHV12</stp>
        <stp>AMZN US Equity</stp>
        <stp>BS_ACCT_PAYABLE</stp>
        <stp>FQ3 2002</stp>
        <stp>FQ3 2002</stp>
        <stp>[FA1_j2ahgkxc.xlsx]Bal Sheet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3"/>
      </tp>
      <tp>
        <v>1211</v>
        <stp/>
        <stp>##V3_BDHV12</stp>
        <stp>AMZN US Equity</stp>
        <stp>BS_ACCT_PAYABLE</stp>
        <stp>FQ1 2007</stp>
        <stp>FQ1 2007</stp>
        <stp>[FA1_j2ahgkxc.xlsx]Bal Sheet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3"/>
      </tp>
      <tp>
        <v>236.99199999999999</v>
        <stp/>
        <stp>##V3_BDHV12</stp>
        <stp>AMZN US Equity</stp>
        <stp>BS_ACCT_PAYABLE</stp>
        <stp>FQ3 2001</stp>
        <stp>FQ3 2001</stp>
        <stp>[FA1_j2ahgkxc.xlsx]Bal Sheet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3"/>
      </tp>
      <tp>
        <v>1864</v>
        <stp/>
        <stp>##V3_BDHV12</stp>
        <stp>AMZN US Equity</stp>
        <stp>BS_ACCT_PAYABLE</stp>
        <stp>FQ1 2008</stp>
        <stp>FQ1 2008</stp>
        <stp>[FA1_j2ahgkxc.xlsx]Bal Sheet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3"/>
      </tp>
      <tp>
        <v>2774.9670000000001</v>
        <stp/>
        <stp>##V3_BDHV12</stp>
        <stp>AMZN US Equity</stp>
        <stp>BS_TOT_LIAB2</stp>
        <stp>FQ2 2001</stp>
        <stp>FQ2 2001</stp>
        <stp>[FA1_j2ahgkxc.xlsx]Bal Sheet - Standardized!R46C12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3"/>
      </tp>
      <tp>
        <v>2634</v>
        <stp/>
        <stp>##V3_BDHV12</stp>
        <stp>AMZN US Equity</stp>
        <stp>BS_TOT_LIAB2</stp>
        <stp>FQ1 2005</stp>
        <stp>FQ1 2005</stp>
        <stp>[FA1_j2ahgkxc.xlsx]Bal Sheet - Standardized!R46C27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3"/>
      </tp>
      <tp>
        <v>334</v>
        <stp/>
        <stp>##V3_BDHV12</stp>
        <stp>AMZN US Equity</stp>
        <stp>EBITDA</stp>
        <stp>FQ4 2007</stp>
        <stp>FQ4 2007</stp>
        <stp>[FA1_j2ahgkxc.xlsx]Income - Adjusted!R46C38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6" s="2"/>
      </tp>
      <tp>
        <v>2878.9580000000001</v>
        <stp/>
        <stp>##V3_BDHV12</stp>
        <stp>AMZN US Equity</stp>
        <stp>BS_TOT_LIAB2</stp>
        <stp>FQ2 2002</stp>
        <stp>FQ2 2002</stp>
        <stp>[FA1_j2ahgkxc.xlsx]Bal Sheet - Standardized!R46C16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3"/>
      </tp>
      <tp>
        <v>2643.6109999999999</v>
        <stp/>
        <stp>##V3_BDHV12</stp>
        <stp>AMZN US Equity</stp>
        <stp>BS_TOT_LIAB2</stp>
        <stp>FQ1 2004</stp>
        <stp>FQ1 2004</stp>
        <stp>[FA1_j2ahgkxc.xlsx]Bal Sheet - Standardized!R46C23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3"/>
      </tp>
      <tp>
        <v>207</v>
        <stp/>
        <stp>##V3_BDHV12</stp>
        <stp>AMZN US Equity</stp>
        <stp>NET_INCOME</stp>
        <stp>FQ4 2007</stp>
        <stp>FQ4 2007</stp>
        <stp>[FA1_j2ahgkxc.xlsx]Income - Adjusted!R26C38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6" s="2"/>
      </tp>
      <tp>
        <v>-222.87899999999999</v>
        <stp/>
        <stp>##V3_BDHV12</stp>
        <stp>AMZN US Equity</stp>
        <stp>FREE_CASH_FLOW_EQUITY</stp>
        <stp>FQ2 1999</stp>
        <stp>FQ2 1999</stp>
        <stp>[FA1_j2ahgkxc.xlsx]Cash Flow - Standardized!R51C4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1" s="4"/>
      </tp>
      <tp>
        <v>-137.92699999999999</v>
        <stp/>
        <stp>##V3_BDHV12</stp>
        <stp>AMZN US Equity</stp>
        <stp>FREE_CASH_FLOW_EQUITY</stp>
        <stp>FQ3 1999</stp>
        <stp>FQ3 1999</stp>
        <stp>[FA1_j2ahgkxc.xlsx]Cash Flow - Standardized!R51C5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1" s="4"/>
      </tp>
      <tp>
        <v>1132.4949999999999</v>
        <stp/>
        <stp>##V3_BDHV12</stp>
        <stp>AMZN US Equity</stp>
        <stp>FREE_CASH_FLOW_EQUITY</stp>
        <stp>FQ1 1999</stp>
        <stp>FQ1 1999</stp>
        <stp>[FA1_j2ahgkxc.xlsx]Cash Flow - Standardized!R51C3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1" s="4"/>
      </tp>
      <tp>
        <v>-74.866</v>
        <stp/>
        <stp>##V3_BDHV12</stp>
        <stp>AMZN US Equity</stp>
        <stp>FREE_CASH_FLOW_EQUITY</stp>
        <stp>FQ4 1999</stp>
        <stp>FQ4 1999</stp>
        <stp>[FA1_j2ahgkxc.xlsx]Cash Flow - Standardized!R51C6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1" s="4"/>
      </tp>
      <tp>
        <v>108</v>
        <stp/>
        <stp>##V3_BDHV12</stp>
        <stp>AMZN US Equity</stp>
        <stp>PRETAX_INC</stp>
        <stp>FQ1 2005</stp>
        <stp>FQ1 2005</stp>
        <stp>[FA1_j2ahgkxc.xlsx]Income - Adjusted!R20C27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0" s="2"/>
      </tp>
      <tp>
        <v>144</v>
        <stp/>
        <stp>##V3_BDHV12</stp>
        <stp>AMZN US Equity</stp>
        <stp>PRETAX_INC</stp>
        <stp>FQ1 2007</stp>
        <stp>FQ1 2007</stp>
        <stp>[FA1_j2ahgkxc.xlsx]Income - Adjusted!R20C35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0" s="2"/>
      </tp>
      <tp>
        <v>-169.874</v>
        <stp/>
        <stp>##V3_BDHV12</stp>
        <stp>AMZN US Equity</stp>
        <stp>PRETAX_INC</stp>
        <stp>FQ3 2001</stp>
        <stp>FQ3 2001</stp>
        <stp>[FA1_j2ahgkxc.xlsx]Income - Adjusted!R20C13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0" s="2"/>
      </tp>
      <tp>
        <v>15.563000000000001</v>
        <stp/>
        <stp>##V3_BDHV12</stp>
        <stp>AMZN US Equity</stp>
        <stp>PRETAX_INC</stp>
        <stp>FQ3 2003</stp>
        <stp>FQ3 2003</stp>
        <stp>[FA1_j2ahgkxc.xlsx]Income - Adjusted!R20C21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0" s="2"/>
      </tp>
      <tp>
        <v>114.107</v>
        <stp/>
        <stp>##V3_BDHV12</stp>
        <stp>AMZN US Equity</stp>
        <stp>PRETAX_INC</stp>
        <stp>FQ4 2004</stp>
        <stp>FQ4 2004</stp>
        <stp>[FA1_j2ahgkxc.xlsx]Income - Adjusted!R20C26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0" s="2"/>
      </tp>
      <tp>
        <v>189</v>
        <stp/>
        <stp>##V3_BDHV12</stp>
        <stp>AMZN US Equity</stp>
        <stp>PRETAX_INC</stp>
        <stp>FQ4 2006</stp>
        <stp>FQ4 2006</stp>
        <stp>[FA1_j2ahgkxc.xlsx]Income - Adjusted!R20C34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0" s="2"/>
      </tp>
      <tp t="s">
        <v>—</v>
        <stp/>
        <stp>##V3_BDHV12</stp>
        <stp>AMZN US Equity</stp>
        <stp>EQY_FLOAT</stp>
        <stp>FQ1 1999</stp>
        <stp>FQ1 1999</stp>
        <stp>[FA1_j2ahgkxc.xlsx]Stock Value!R14C3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4" s="6"/>
      </tp>
      <tp t="s">
        <v>—</v>
        <stp/>
        <stp>##V3_BDHV12</stp>
        <stp>AMZN US Equity</stp>
        <stp>EQY_FLOAT</stp>
        <stp>FQ3 2000</stp>
        <stp>FQ3 2000</stp>
        <stp>[FA1_j2ahgkxc.xlsx]Stock Value!R14C9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4" s="6"/>
      </tp>
      <tp>
        <v>347.51900000000001</v>
        <stp/>
        <stp>##V3_BDHV12</stp>
        <stp>AMZN US Equity</stp>
        <stp>ACCT_PAYABLE_&amp;_ACCRUALS_DETAILED</stp>
        <stp>FQ3 2002</stp>
        <stp>FQ3 2002</stp>
        <stp>[FA1_j2ahgkxc.xlsx]Bal Sheet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3"/>
      </tp>
      <tp>
        <v>920</v>
        <stp/>
        <stp>##V3_BDHV12</stp>
        <stp>AMZN US Equity</stp>
        <stp>ACCT_PAYABLE_&amp;_ACCRUALS_DETAILED</stp>
        <stp>FQ1 2006</stp>
        <stp>FQ1 2006</stp>
        <stp>[FA1_j2ahgkxc.xlsx]Bal Sheet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3"/>
      </tp>
      <tp>
        <v>21.47</v>
        <stp/>
        <stp>##V3_BDHV12</stp>
        <stp>AMZN US Equity</stp>
        <stp>IS_INT_EXPENSE</stp>
        <stp>FQ3 1999</stp>
        <stp>FQ3 1999</stp>
        <stp>[FA1_j2ahgkxc.xlsx]Income - Adjusted!R14C6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>
        <v>16.687999999999999</v>
        <stp/>
        <stp>##V3_BDHV12</stp>
        <stp>AMZN US Equity</stp>
        <stp>IS_INT_EXPENSE</stp>
        <stp>FQ1 1999</stp>
        <stp>FQ1 1999</stp>
        <stp>[FA1_j2ahgkxc.xlsx]Income - Adjusted!R14C4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>
        <v>236.99199999999999</v>
        <stp/>
        <stp>##V3_BDHV12</stp>
        <stp>AMZN US Equity</stp>
        <stp>ACCT_PAYABLE_&amp;_ACCRUALS_DETAILED</stp>
        <stp>FQ3 2001</stp>
        <stp>FQ3 2001</stp>
        <stp>[FA1_j2ahgkxc.xlsx]Bal Sheet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3"/>
      </tp>
      <tp>
        <v>1864</v>
        <stp/>
        <stp>##V3_BDHV12</stp>
        <stp>AMZN US Equity</stp>
        <stp>ACCT_PAYABLE_&amp;_ACCRUALS_DETAILED</stp>
        <stp>FQ1 2008</stp>
        <stp>FQ1 2008</stp>
        <stp>[FA1_j2ahgkxc.xlsx]Bal Sheet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3"/>
      </tp>
      <tp>
        <v>1211</v>
        <stp/>
        <stp>##V3_BDHV12</stp>
        <stp>AMZN US Equity</stp>
        <stp>ACCT_PAYABLE_&amp;_ACCRUALS_DETAILED</stp>
        <stp>FQ1 2007</stp>
        <stp>FQ1 2007</stp>
        <stp>[FA1_j2ahgkxc.xlsx]Bal Sheet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3"/>
      </tp>
      <tp>
        <v>-242.48099999999999</v>
        <stp/>
        <stp>##V3_BDHV12</stp>
        <stp>AMZN US Equity</stp>
        <stp>CF_NET_CHNG_CASH</stp>
        <stp>FQ1 2003</stp>
        <stp>FQ1 2003</stp>
        <stp>[FA1_j2ahgkxc.xlsx]Cash Flow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4"/>
      </tp>
      <tp>
        <v>336</v>
        <stp/>
        <stp>##V3_BDHV12</stp>
        <stp>AMZN US Equity</stp>
        <stp>OTHER_NONCURRENT_ASSETS_DETAILED</stp>
        <stp>FQ2 2006</stp>
        <stp>FQ2 2006</stp>
        <stp>[FA1_j2ahgkxc.xlsx]Bal Sheet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3"/>
      </tp>
      <tp>
        <v>35.296999999999997</v>
        <stp/>
        <stp>##V3_BDHV12</stp>
        <stp>AMZN US Equity</stp>
        <stp>OTHER_NONCURRENT_ASSETS_DETAILED</stp>
        <stp>FQ3 2003</stp>
        <stp>FQ3 2003</stp>
        <stp>[FA1_j2ahgkxc.xlsx]Bal Sheet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3"/>
      </tp>
      <tp>
        <v>96</v>
        <stp/>
        <stp>##V3_BDHV12</stp>
        <stp>AMZN US Equity</stp>
        <stp>CF_NET_CHNG_CASH</stp>
        <stp>FQ2 2005</stp>
        <stp>FQ2 2005</stp>
        <stp>[FA1_j2ahgkxc.xlsx]Cash Flow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4"/>
      </tp>
      <tp>
        <v>468</v>
        <stp/>
        <stp>##V3_BDHV12</stp>
        <stp>AMZN US Equity</stp>
        <stp>OTHER_NONCURRENT_ASSETS_DETAILED</stp>
        <stp>FQ2 2007</stp>
        <stp>FQ2 2007</stp>
        <stp>[FA1_j2ahgkxc.xlsx]Bal Sheet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3"/>
      </tp>
      <tp>
        <v>1119</v>
        <stp/>
        <stp>##V3_BDHV12</stp>
        <stp>AMZN US Equity</stp>
        <stp>CF_NET_CHNG_CASH</stp>
        <stp>FQ4 2008</stp>
        <stp>FQ4 2008</stp>
        <stp>[FA1_j2ahgkxc.xlsx]Cash Flow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4"/>
      </tp>
      <tp>
        <v>51.537999999999997</v>
        <stp/>
        <stp>##V3_BDHV12</stp>
        <stp>AMZN US Equity</stp>
        <stp>OTHER_NONCURRENT_ASSETS_DETAILED</stp>
        <stp>FQ3 2004</stp>
        <stp>FQ3 2004</stp>
        <stp>[FA1_j2ahgkxc.xlsx]Bal Sheet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3"/>
      </tp>
      <tp>
        <v>-375.49099999999999</v>
        <stp/>
        <stp>##V3_BDHV12</stp>
        <stp>AMZN US Equity</stp>
        <stp>CF_NET_CHNG_CASH</stp>
        <stp>FQ1 2001</stp>
        <stp>FQ1 2001</stp>
        <stp>[FA1_j2ahgkxc.xlsx]Cash Flow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4"/>
      </tp>
      <tp>
        <v>145.95500000000001</v>
        <stp/>
        <stp>##V3_BDHV12</stp>
        <stp>AMZN US Equity</stp>
        <stp>CF_NET_CHNG_CASH</stp>
        <stp>FQ2 2003</stp>
        <stp>FQ2 2003</stp>
        <stp>[FA1_j2ahgkxc.xlsx]Cash Flow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4"/>
      </tp>
      <tp>
        <v>4063</v>
        <stp/>
        <stp>##V3_BDHV12</stp>
        <stp>AMZN US Equity</stp>
        <stp>SALES_REV_TURN</stp>
        <stp>FQ2 2008</stp>
        <stp>FQ2 2008</stp>
        <stp>[FA1_j2ahgkxc.xlsx]Income - Adjusted!R6C40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" s="2"/>
      </tp>
      <tp>
        <v>4264</v>
        <stp/>
        <stp>##V3_BDHV12</stp>
        <stp>AMZN US Equity</stp>
        <stp>SALES_REV_TURN</stp>
        <stp>FQ3 2008</stp>
        <stp>FQ3 2008</stp>
        <stp>[FA1_j2ahgkxc.xlsx]Income - Adjusted!R6C41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" s="2"/>
      </tp>
      <tp>
        <v>362</v>
        <stp/>
        <stp>##V3_BDHV12</stp>
        <stp>AMZN US Equity</stp>
        <stp>CF_NET_CHNG_CASH</stp>
        <stp>FQ3 2007</stp>
        <stp>FQ3 2007</stp>
        <stp>[FA1_j2ahgkxc.xlsx]Cash Flow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4"/>
      </tp>
      <tp>
        <v>-81.085999999999999</v>
        <stp/>
        <stp>##V3_BDHV12</stp>
        <stp>AMZN US Equity</stp>
        <stp>EBITDA</stp>
        <stp>FQ1 2000</stp>
        <stp>FQ1 2000</stp>
        <stp>[FA1_j2ahgkxc.xlsx]Income - Adjusted!R46C8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6" s="2"/>
      </tp>
      <tp>
        <v>230</v>
        <stp/>
        <stp>##V3_BDHV12</stp>
        <stp>AMZN US Equity</stp>
        <stp>OTHER_NONCURRENT_ASSETS_DETAILED</stp>
        <stp>FQ3 2005</stp>
        <stp>FQ3 2005</stp>
        <stp>[FA1_j2ahgkxc.xlsx]Bal Sheet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3"/>
      </tp>
      <tp>
        <v>-67.436999999999998</v>
        <stp/>
        <stp>##V3_BDHV12</stp>
        <stp>AMZN US Equity</stp>
        <stp>CF_NET_CHNG_CASH</stp>
        <stp>FQ2 2004</stp>
        <stp>FQ2 2004</stp>
        <stp>[FA1_j2ahgkxc.xlsx]Cash Flow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4"/>
      </tp>
      <tp>
        <v>10</v>
        <stp/>
        <stp>##V3_BDHV12</stp>
        <stp>AMZN US Equity</stp>
        <stp>CF_NET_CHNG_CASH</stp>
        <stp>FQ3 2006</stp>
        <stp>FQ3 2006</stp>
        <stp>[FA1_j2ahgkxc.xlsx]Cash Flow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4"/>
      </tp>
      <tp>
        <v>-243.59299999999999</v>
        <stp/>
        <stp>##V3_BDHV12</stp>
        <stp>AMZN US Equity</stp>
        <stp>CF_NET_CHNG_CASH</stp>
        <stp>FQ1 2002</stp>
        <stp>FQ1 2002</stp>
        <stp>[FA1_j2ahgkxc.xlsx]Cash Flow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4"/>
      </tp>
      <tp>
        <v>118</v>
        <stp/>
        <stp>##V3_BDHV12</stp>
        <stp>AMZN US Equity</stp>
        <stp>IS_INC_BEF_XO_ITEM</stp>
        <stp>FQ3 2008</stp>
        <stp>FQ3 2008</stp>
        <stp>[FA1_j2ahgkxc.xlsx]Income - Adjusted!R22C41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2"/>
      </tp>
      <tp>
        <v>567.56299999999999</v>
        <stp/>
        <stp>##V3_BDHV12</stp>
        <stp>AMZN US Equity</stp>
        <stp>BS_ACCT_PAYABLE</stp>
        <stp>FQ1 2004</stp>
        <stp>FQ1 2004</stp>
        <stp>[FA1_j2ahgkxc.xlsx]Bal Sheet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3"/>
      </tp>
      <tp>
        <v>296.36799999999999</v>
        <stp/>
        <stp>##V3_BDHV12</stp>
        <stp>AMZN US Equity</stp>
        <stp>BS_ACCT_PAYABLE</stp>
        <stp>FQ2 2002</stp>
        <stp>FQ2 2002</stp>
        <stp>[FA1_j2ahgkxc.xlsx]Bal Sheet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3"/>
      </tp>
      <tp>
        <v>-2.8296000000000001</v>
        <stp/>
        <stp>##V3_BDHV12</stp>
        <stp>AMZN US Equity</stp>
        <stp>TANG_BOOK_VAL_PER_SH</stp>
        <stp>FQ3 2000</stp>
        <stp>FQ3 2000</stp>
        <stp>[FA1_j2ahgkxc.xlsx]Per Share!R27C9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7" s="5"/>
      </tp>
      <tp>
        <v>704</v>
        <stp/>
        <stp>##V3_BDHV12</stp>
        <stp>AMZN US Equity</stp>
        <stp>BS_ACCT_PAYABLE</stp>
        <stp>FQ1 2005</stp>
        <stp>FQ1 2005</stp>
        <stp>[FA1_j2ahgkxc.xlsx]Bal Sheet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3"/>
      </tp>
      <tp>
        <v>257.976</v>
        <stp/>
        <stp>##V3_BDHV12</stp>
        <stp>AMZN US Equity</stp>
        <stp>BS_ACCT_PAYABLE</stp>
        <stp>FQ2 2001</stp>
        <stp>FQ2 2001</stp>
        <stp>[FA1_j2ahgkxc.xlsx]Bal Sheet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3"/>
      </tp>
      <tp>
        <v>2800.3620000000001</v>
        <stp/>
        <stp>##V3_BDHV12</stp>
        <stp>AMZN US Equity</stp>
        <stp>BS_TOT_LIAB2</stp>
        <stp>FQ3 2001</stp>
        <stp>FQ3 2001</stp>
        <stp>[FA1_j2ahgkxc.xlsx]Bal Sheet - Standardized!R46C13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3"/>
      </tp>
      <tp>
        <v>4413</v>
        <stp/>
        <stp>##V3_BDHV12</stp>
        <stp>AMZN US Equity</stp>
        <stp>BS_TOT_LIAB2</stp>
        <stp>FQ1 2008</stp>
        <stp>FQ1 2008</stp>
        <stp>[FA1_j2ahgkxc.xlsx]Bal Sheet - Standardized!R46C39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3"/>
      </tp>
      <tp>
        <v>3308</v>
        <stp/>
        <stp>##V3_BDHV12</stp>
        <stp>AMZN US Equity</stp>
        <stp>BS_TOT_LIAB2</stp>
        <stp>FQ1 2007</stp>
        <stp>FQ1 2007</stp>
        <stp>[FA1_j2ahgkxc.xlsx]Bal Sheet - Standardized!R46C35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3"/>
      </tp>
      <tp>
        <v>2975.8438999999998</v>
        <stp/>
        <stp>##V3_BDHV12</stp>
        <stp>AMZN US Equity</stp>
        <stp>BS_TOT_LIAB2</stp>
        <stp>FQ3 2002</stp>
        <stp>FQ3 2002</stp>
        <stp>[FA1_j2ahgkxc.xlsx]Bal Sheet - Standardized!R46C17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3"/>
      </tp>
      <tp>
        <v>2666</v>
        <stp/>
        <stp>##V3_BDHV12</stp>
        <stp>AMZN US Equity</stp>
        <stp>BS_TOT_LIAB2</stp>
        <stp>FQ1 2006</stp>
        <stp>FQ1 2006</stp>
        <stp>[FA1_j2ahgkxc.xlsx]Bal Sheet - Standardized!R46C31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3"/>
      </tp>
      <tp>
        <v>-43.314</v>
        <stp/>
        <stp>##V3_BDHV12</stp>
        <stp>AMZN US Equity</stp>
        <stp>PRETAX_INC</stp>
        <stp>FQ2 2003</stp>
        <stp>FQ2 2003</stp>
        <stp>[FA1_j2ahgkxc.xlsx]Income - Adjusted!R20C20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0" s="2"/>
      </tp>
      <tp>
        <v>-168.35900000000001</v>
        <stp/>
        <stp>##V3_BDHV12</stp>
        <stp>AMZN US Equity</stp>
        <stp>PRETAX_INC</stp>
        <stp>FQ2 2001</stp>
        <stp>FQ2 2001</stp>
        <stp>[FA1_j2ahgkxc.xlsx]Income - Adjusted!R20C12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0" s="2"/>
      </tp>
      <tp>
        <v>618.12800000000004</v>
        <stp/>
        <stp>##V3_BDHV12</stp>
        <stp>AMZN US Equity</stp>
        <stp>ACCT_PAYABLE_&amp;_ACCRUALS_DETAILED</stp>
        <stp>FQ4 2002</stp>
        <stp>FQ4 2002</stp>
        <stp>[FA1_j2ahgkxc.xlsx]Bal Sheet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3"/>
      </tp>
      <tp t="s">
        <v>—</v>
        <stp/>
        <stp>##V3_BDHV12</stp>
        <stp>AMZN US Equity</stp>
        <stp>EQY_FLOAT</stp>
        <stp>FQ2 1999</stp>
        <stp>FQ2 1999</stp>
        <stp>[FA1_j2ahgkxc.xlsx]Stock Value!R14C4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4" s="6"/>
      </tp>
      <tp>
        <v>485.38299999999998</v>
        <stp/>
        <stp>##V3_BDHV12</stp>
        <stp>AMZN US Equity</stp>
        <stp>ACCT_PAYABLE_&amp;_ACCRUALS_DETAILED</stp>
        <stp>FQ4 2000</stp>
        <stp>FQ4 2000</stp>
        <stp>[FA1_j2ahgkxc.xlsx]Bal Sheet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3"/>
      </tp>
      <tp>
        <v>444.74799999999999</v>
        <stp/>
        <stp>##V3_BDHV12</stp>
        <stp>AMZN US Equity</stp>
        <stp>ACCT_PAYABLE_&amp;_ACCRUALS_DETAILED</stp>
        <stp>FQ4 2001</stp>
        <stp>FQ4 2001</stp>
        <stp>[FA1_j2ahgkxc.xlsx]Bal Sheet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3"/>
      </tp>
      <tp>
        <v>32.469000000000001</v>
        <stp/>
        <stp>##V3_BDHV12</stp>
        <stp>AMZN US Equity</stp>
        <stp>OTHER_NONCURRENT_ASSETS_DETAILED</stp>
        <stp>FQ4 2003</stp>
        <stp>FQ4 2003</stp>
        <stp>[FA1_j2ahgkxc.xlsx]Bal Sheet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3"/>
      </tp>
      <tp>
        <v>1173</v>
        <stp/>
        <stp>##V3_BDHV12</stp>
        <stp>AMZN US Equity</stp>
        <stp>CF_NET_CHNG_CASH</stp>
        <stp>FQ4 2007</stp>
        <stp>FQ4 2007</stp>
        <stp>[FA1_j2ahgkxc.xlsx]Cash Flow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4"/>
      </tp>
      <tp>
        <v>5.585</v>
        <stp/>
        <stp>##V3_BDHV12</stp>
        <stp>AMZN US Equity</stp>
        <stp>OTHER_INTANGIBLE_ASSETS_DETAILED</stp>
        <stp>FQ2 2002</stp>
        <stp>FQ2 2002</stp>
        <stp>[FA1_j2ahgkxc.xlsx]Bal Sheet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3"/>
      </tp>
      <tp>
        <v>0</v>
        <stp/>
        <stp>##V3_BDHV12</stp>
        <stp>AMZN US Equity</stp>
        <stp>OTHER_INTANGIBLE_ASSETS_DETAILED</stp>
        <stp>FQ1 2004</stp>
        <stp>FQ1 2004</stp>
        <stp>[FA1_j2ahgkxc.xlsx]Bal Sheet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3"/>
      </tp>
      <tp>
        <v>102</v>
        <stp/>
        <stp>##V3_BDHV12</stp>
        <stp>AMZN US Equity</stp>
        <stp>CF_NET_CHNG_CASH</stp>
        <stp>FQ3 2008</stp>
        <stp>FQ3 2008</stp>
        <stp>[FA1_j2ahgkxc.xlsx]Cash Flow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4"/>
      </tp>
      <tp>
        <v>323.95699999999999</v>
        <stp/>
        <stp>##V3_BDHV12</stp>
        <stp>AMZN US Equity</stp>
        <stp>OTHER_NONCURRENT_ASSETS_DETAILED</stp>
        <stp>FQ4 2004</stp>
        <stp>FQ4 2004</stp>
        <stp>[FA1_j2ahgkxc.xlsx]Bal Sheet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3"/>
      </tp>
      <tp>
        <v>63.893000000000001</v>
        <stp/>
        <stp>##V3_BDHV12</stp>
        <stp>AMZN US Equity</stp>
        <stp>OTHER_INTANGIBLE_ASSETS_DETAILED</stp>
        <stp>FQ2 2001</stp>
        <stp>FQ2 2001</stp>
        <stp>[FA1_j2ahgkxc.xlsx]Bal Sheet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3"/>
      </tp>
      <tp>
        <v>2.0459999999999998</v>
        <stp/>
        <stp>##V3_BDHV12</stp>
        <stp>AMZN US Equity</stp>
        <stp>CASH_ST_INVESTMENTS_PER_SH</stp>
        <stp>FQ4 1999</stp>
        <stp>FQ4 1999</stp>
        <stp>[FA1_j2ahgkxc.xlsx]Per Share!R25C7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5" s="5"/>
      </tp>
      <tp>
        <v>12.7</v>
        <stp/>
        <stp>##V3_BDHV12</stp>
        <stp>AMZN US Equity</stp>
        <stp>OTHER_INTANGIBLE_ASSETS_DETAILED</stp>
        <stp>FQ1 2005</stp>
        <stp>FQ1 2005</stp>
        <stp>[FA1_j2ahgkxc.xlsx]Bal Sheet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3"/>
      </tp>
      <tp>
        <v>413</v>
        <stp/>
        <stp>##V3_BDHV12</stp>
        <stp>AMZN US Equity</stp>
        <stp>CF_NET_CHNG_CASH</stp>
        <stp>FQ4 2005</stp>
        <stp>FQ4 2005</stp>
        <stp>[FA1_j2ahgkxc.xlsx]Cash Flow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4"/>
      </tp>
      <tp>
        <v>329</v>
        <stp/>
        <stp>##V3_BDHV12</stp>
        <stp>AMZN US Equity</stp>
        <stp>CF_NET_CHNG_CASH</stp>
        <stp>FQ4 2006</stp>
        <stp>FQ4 2006</stp>
        <stp>[FA1_j2ahgkxc.xlsx]Cash Flow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4"/>
      </tp>
      <tp>
        <v>1035</v>
        <stp/>
        <stp>##V3_BDHV12</stp>
        <stp>AMZN US Equity</stp>
        <stp>OTHER_NONCURRENT_ASSETS_DETAILED</stp>
        <stp>FQ2 2008</stp>
        <stp>FQ2 2008</stp>
        <stp>[FA1_j2ahgkxc.xlsx]Bal Sheet - Standardized!R27C40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3"/>
      </tp>
      <tp>
        <v>30.6</v>
        <stp/>
        <stp>##V3_BDHV12</stp>
        <stp>AMZN US Equity</stp>
        <stp>PX_LOW</stp>
        <stp>FQ2 2005</stp>
        <stp>FQ2 2005</stp>
        <stp>[FA1_j2ahgkxc.xlsx]Stock Value!R10C28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0" s="6"/>
      </tp>
      <tp>
        <v>32.79</v>
        <stp/>
        <stp>##V3_BDHV12</stp>
        <stp>AMZN US Equity</stp>
        <stp>PX_LOW</stp>
        <stp>FQ3 2005</stp>
        <stp>FQ3 2005</stp>
        <stp>[FA1_j2ahgkxc.xlsx]Stock Value!R10C29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0" s="6"/>
      </tp>
      <tp>
        <v>225</v>
        <stp/>
        <stp>##V3_BDHV12</stp>
        <stp>AMZN US Equity</stp>
        <stp>IS_INC_BEF_XO_ITEM</stp>
        <stp>FQ4 2008</stp>
        <stp>FQ4 2008</stp>
        <stp>[FA1_j2ahgkxc.xlsx]Income - Adjusted!R22C42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2"/>
      </tp>
      <tp>
        <v>-0.15</v>
        <stp/>
        <stp>##V3_BDHV12</stp>
        <stp>AMZN US Equity</stp>
        <stp>IS_DIL_EPS_BEF_XO</stp>
        <stp>FQ4 1998</stp>
        <stp>FQ4 1998</stp>
        <stp>[FA1_j2ahgkxc.xlsx]Income - Adjusted!R41C3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1" s="2"/>
      </tp>
      <tp>
        <v>3077.5470999999998</v>
        <stp/>
        <stp>##V3_BDHV12</stp>
        <stp>AMZN US Equity</stp>
        <stp>BS_TOT_LIAB2</stp>
        <stp>FQ4 2001</stp>
        <stp>FQ4 2001</stp>
        <stp>[FA1_j2ahgkxc.xlsx]Bal Sheet - Standardized!R46C14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3"/>
      </tp>
      <tp>
        <v>3102.4200999999998</v>
        <stp/>
        <stp>##V3_BDHV12</stp>
        <stp>AMZN US Equity</stp>
        <stp>BS_TOT_LIAB2</stp>
        <stp>FQ4 2000</stp>
        <stp>FQ4 2000</stp>
        <stp>[FA1_j2ahgkxc.xlsx]Bal Sheet - Standardized!R46C10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3"/>
      </tp>
      <tp>
        <v>230</v>
        <stp/>
        <stp>##V3_BDHV12</stp>
        <stp>AMZN US Equity</stp>
        <stp>EBITDA</stp>
        <stp>FQ3 2008</stp>
        <stp>FQ3 2008</stp>
        <stp>[FA1_j2ahgkxc.xlsx]Income - Adjusted!R46C41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6" s="2"/>
      </tp>
      <tp>
        <v>924.79399999999998</v>
        <stp/>
        <stp>##V3_BDHV12</stp>
        <stp>AMZN US Equity</stp>
        <stp>BS_MKT_SEC_OTHER_ST_INVEST</stp>
        <stp>FQ1 2000</stp>
        <stp>FQ1 2000</stp>
        <stp>[FA1_j2ahgkxc.xlsx]Bal Sheet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3"/>
      </tp>
      <tp>
        <v>252.976</v>
        <stp/>
        <stp>##V3_BDHV12</stp>
        <stp>AMZN US Equity</stp>
        <stp>BS_MKT_SEC_OTHER_ST_INVEST</stp>
        <stp>FQ3 2000</stp>
        <stp>FQ3 2000</stp>
        <stp>[FA1_j2ahgkxc.xlsx]Bal Sheet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118</v>
        <stp/>
        <stp>##V3_BDHV12</stp>
        <stp>AMZN US Equity</stp>
        <stp>NET_INCOME</stp>
        <stp>FQ3 2008</stp>
        <stp>FQ3 2008</stp>
        <stp>[FA1_j2ahgkxc.xlsx]Income - Adjusted!R26C41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6" s="2"/>
      </tp>
      <tp>
        <v>3343.2629000000002</v>
        <stp/>
        <stp>##V3_BDHV12</stp>
        <stp>AMZN US Equity</stp>
        <stp>BS_TOT_LIAB2</stp>
        <stp>FQ4 2002</stp>
        <stp>FQ4 2002</stp>
        <stp>[FA1_j2ahgkxc.xlsx]Bal Sheet - Standardized!R46C18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3"/>
      </tp>
      <tp>
        <v>54</v>
        <stp/>
        <stp>##V3_BDHV12</stp>
        <stp>AMZN US Equity</stp>
        <stp>PRETAX_INC</stp>
        <stp>FQ2 2006</stp>
        <stp>FQ2 2006</stp>
        <stp>[FA1_j2ahgkxc.xlsx]Income - Adjusted!R20C32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0" s="2"/>
      </tp>
      <tp>
        <v>-93.552999999999997</v>
        <stp/>
        <stp>##V3_BDHV12</stp>
        <stp>AMZN US Equity</stp>
        <stp>PRETAX_INC</stp>
        <stp>FQ2 2002</stp>
        <stp>FQ2 2002</stp>
        <stp>[FA1_j2ahgkxc.xlsx]Income - Adjusted!R20C16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0" s="2"/>
      </tp>
      <tp>
        <v>-0.37740000000000001</v>
        <stp/>
        <stp>##V3_BDHV12</stp>
        <stp>AMZN US Equity</stp>
        <stp>FREE_CASH_FLOW_PER_SH</stp>
        <stp>FQ2 1999</stp>
        <stp>FQ2 1999</stp>
        <stp>[FA1_j2ahgkxc.xlsx]Per Share!R23C5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3" s="5"/>
      </tp>
      <tp>
        <v>346</v>
        <stp/>
        <stp>##V3_BDHV12</stp>
        <stp>AMZN US Equity</stp>
        <stp>IS_OPERATING_EXPN</stp>
        <stp>FQ2 2005</stp>
        <stp>FQ2 2005</stp>
        <stp>[FA1_j2ahgkxc.xlsx]Income - Adjusted!R9C28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>
        <v>408</v>
        <stp/>
        <stp>##V3_BDHV12</stp>
        <stp>AMZN US Equity</stp>
        <stp>IS_OPERATING_EXPN</stp>
        <stp>FQ3 2005</stp>
        <stp>FQ3 2005</stp>
        <stp>[FA1_j2ahgkxc.xlsx]Income - Adjusted!R9C29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 t="s">
        <v>—</v>
        <stp/>
        <stp>##V3_BDHV12</stp>
        <stp>AMZN US Equity</stp>
        <stp>EQY_FLOAT</stp>
        <stp>FQ3 1999</stp>
        <stp>FQ3 1999</stp>
        <stp>[FA1_j2ahgkxc.xlsx]Stock Value!R14C5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4" s="6"/>
      </tp>
      <tp>
        <v>17.972999999999999</v>
        <stp/>
        <stp>##V3_BDHV12</stp>
        <stp>AMZN US Equity</stp>
        <stp>IS_INT_EXPENSE</stp>
        <stp>FQ4 1999</stp>
        <stp>FQ4 1999</stp>
        <stp>[FA1_j2ahgkxc.xlsx]Income - Adjusted!R14C7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>
        <v>4.3730000000000002</v>
        <stp/>
        <stp>##V3_BDHV12</stp>
        <stp>AMZN US Equity</stp>
        <stp>OTHER_INTANGIBLE_ASSETS_DETAILED</stp>
        <stp>FQ3 2002</stp>
        <stp>FQ3 2002</stp>
        <stp>[FA1_j2ahgkxc.xlsx]Bal Sheet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3"/>
      </tp>
      <tp>
        <v>0</v>
        <stp/>
        <stp>##V3_BDHV12</stp>
        <stp>AMZN US Equity</stp>
        <stp>OTHER_INTANGIBLE_ASSETS_DETAILED</stp>
        <stp>FQ1 2006</stp>
        <stp>FQ1 2006</stp>
        <stp>[FA1_j2ahgkxc.xlsx]Bal Sheet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3"/>
      </tp>
      <tp>
        <v>52</v>
        <stp/>
        <stp>##V3_BDHV12</stp>
        <stp>AMZN US Equity</stp>
        <stp>CF_NET_CHNG_CASH</stp>
        <stp>FQ2 2008</stp>
        <stp>FQ2 2008</stp>
        <stp>[FA1_j2ahgkxc.xlsx]Cash Flow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4"/>
      </tp>
      <tp>
        <v>338</v>
        <stp/>
        <stp>##V3_BDHV12</stp>
        <stp>AMZN US Equity</stp>
        <stp>OTHER_NONCURRENT_ASSETS_DETAILED</stp>
        <stp>FQ4 2006</stp>
        <stp>FQ4 2006</stp>
        <stp>[FA1_j2ahgkxc.xlsx]Bal Sheet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3"/>
      </tp>
      <tp>
        <v>249</v>
        <stp/>
        <stp>##V3_BDHV12</stp>
        <stp>AMZN US Equity</stp>
        <stp>OTHER_NONCURRENT_ASSETS_DETAILED</stp>
        <stp>FQ4 2005</stp>
        <stp>FQ4 2005</stp>
        <stp>[FA1_j2ahgkxc.xlsx]Bal Sheet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3"/>
      </tp>
      <tp>
        <v>0</v>
        <stp/>
        <stp>##V3_BDHV12</stp>
        <stp>AMZN US Equity</stp>
        <stp>OTHER_INTANGIBLE_ASSETS_DETAILED</stp>
        <stp>FQ1 2008</stp>
        <stp>FQ1 2008</stp>
        <stp>[FA1_j2ahgkxc.xlsx]Bal Sheet - Standardized!R26C39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3"/>
      </tp>
      <tp>
        <v>48.273000000000003</v>
        <stp/>
        <stp>##V3_BDHV12</stp>
        <stp>AMZN US Equity</stp>
        <stp>OTHER_INTANGIBLE_ASSETS_DETAILED</stp>
        <stp>FQ3 2001</stp>
        <stp>FQ3 2001</stp>
        <stp>[FA1_j2ahgkxc.xlsx]Bal Sheet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3"/>
      </tp>
      <tp>
        <v>0</v>
        <stp/>
        <stp>##V3_BDHV12</stp>
        <stp>AMZN US Equity</stp>
        <stp>OTHER_INTANGIBLE_ASSETS_DETAILED</stp>
        <stp>FQ1 2007</stp>
        <stp>FQ1 2007</stp>
        <stp>[FA1_j2ahgkxc.xlsx]Bal Sheet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3"/>
      </tp>
      <tp>
        <v>435.85500000000002</v>
        <stp/>
        <stp>##V3_BDHV12</stp>
        <stp>AMZN US Equity</stp>
        <stp>CF_NET_CHNG_CASH</stp>
        <stp>FQ4 2003</stp>
        <stp>FQ4 2003</stp>
        <stp>[FA1_j2ahgkxc.xlsx]Cash Flow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4"/>
      </tp>
      <tp>
        <v>556</v>
        <stp/>
        <stp>##V3_BDHV12</stp>
        <stp>AMZN US Equity</stp>
        <stp>OTHER_NONCURRENT_ASSETS_DETAILED</stp>
        <stp>FQ4 2007</stp>
        <stp>FQ4 2007</stp>
        <stp>[FA1_j2ahgkxc.xlsx]Bal Sheet - Standardized!R27C38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3"/>
      </tp>
      <tp>
        <v>556.99199999999996</v>
        <stp/>
        <stp>##V3_BDHV12</stp>
        <stp>AMZN US Equity</stp>
        <stp>CF_NET_CHNG_CASH</stp>
        <stp>FQ4 2004</stp>
        <stp>FQ4 2004</stp>
        <stp>[FA1_j2ahgkxc.xlsx]Cash Flow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4"/>
      </tp>
      <tp>
        <v>1000</v>
        <stp/>
        <stp>##V3_BDHV12</stp>
        <stp>AMZN US Equity</stp>
        <stp>OTHER_NONCURRENT_ASSETS_DETAILED</stp>
        <stp>FQ3 2008</stp>
        <stp>FQ3 2008</stp>
        <stp>[FA1_j2ahgkxc.xlsx]Bal Sheet - Standardized!R27C41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3"/>
      </tp>
      <tp>
        <v>618.12800000000004</v>
        <stp/>
        <stp>##V3_BDHV12</stp>
        <stp>AMZN US Equity</stp>
        <stp>BS_ACCT_PAYABLE</stp>
        <stp>FQ4 2002</stp>
        <stp>FQ4 2002</stp>
        <stp>[FA1_j2ahgkxc.xlsx]Bal Sheet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3"/>
      </tp>
      <tp>
        <v>485.38299999999998</v>
        <stp/>
        <stp>##V3_BDHV12</stp>
        <stp>AMZN US Equity</stp>
        <stp>BS_ACCT_PAYABLE</stp>
        <stp>FQ4 2000</stp>
        <stp>FQ4 2000</stp>
        <stp>[FA1_j2ahgkxc.xlsx]Bal Sheet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3"/>
      </tp>
      <tp t="s">
        <v>—</v>
        <stp/>
        <stp>##V3_BDHV12</stp>
        <stp>AMZN US Equity</stp>
        <stp>BS_OPTIONS_OUTSTANDING</stp>
        <stp>FQ1 2000</stp>
        <stp>FQ1 2000</stp>
        <stp>[FA1_j2ahgkxc.xlsx]Bal Sheet - Standardized!R64C8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4" s="3"/>
      </tp>
      <tp>
        <v>444.74799999999999</v>
        <stp/>
        <stp>##V3_BDHV12</stp>
        <stp>AMZN US Equity</stp>
        <stp>BS_ACCT_PAYABLE</stp>
        <stp>FQ4 2001</stp>
        <stp>FQ4 2001</stp>
        <stp>[FA1_j2ahgkxc.xlsx]Bal Sheet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3"/>
      </tp>
      <tp>
        <v>-0.43</v>
        <stp/>
        <stp>##V3_BDHV12</stp>
        <stp>AMZN US Equity</stp>
        <stp>IS_DIL_EPS_BEF_XO</stp>
        <stp>FQ2 1999</stp>
        <stp>FQ2 1999</stp>
        <stp>[FA1_j2ahgkxc.xlsx]Income - Adjusted!R41C5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1" s="2"/>
      </tp>
      <tp>
        <v>183.22800000000001</v>
        <stp/>
        <stp>##V3_BDHV12</stp>
        <stp>AMZN US Equity</stp>
        <stp>BS_GROSS_FIX_ASSET</stp>
        <stp>FQ2 1999</stp>
        <stp>FQ2 1999</stp>
        <stp>[FA1_j2ahgkxc.xlsx]Bal Sheet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3"/>
      </tp>
      <tp>
        <v>43.585000000000001</v>
        <stp/>
        <stp>##V3_BDHV12</stp>
        <stp>AMZN US Equity</stp>
        <stp>BS_GROSS_FIX_ASSET</stp>
        <stp>FQ4 1998</stp>
        <stp>FQ4 1998</stp>
        <stp>[FA1_j2ahgkxc.xlsx]Bal Sheet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3"/>
      </tp>
      <tp t="s">
        <v>—</v>
        <stp/>
        <stp>##V3_BDHV12</stp>
        <stp>AMZN US Equity</stp>
        <stp>OTHER_INTANGIBLE_ASSETS_DETAILED</stp>
        <stp>FQ3 2000</stp>
        <stp>FQ3 2000</stp>
        <stp>[FA1_j2ahgkxc.xlsx]Bal Sheet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3"/>
      </tp>
      <tp>
        <v>79.385000000000005</v>
        <stp/>
        <stp>##V3_BDHV12</stp>
        <stp>AMZN US Equity</stp>
        <stp>BS_GROSS_FIX_ASSET</stp>
        <stp>FQ1 1999</stp>
        <stp>FQ1 1999</stp>
        <stp>[FA1_j2ahgkxc.xlsx]Bal Sheet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3"/>
      </tp>
      <tp>
        <v>256.87400000000002</v>
        <stp/>
        <stp>##V3_BDHV12</stp>
        <stp>AMZN US Equity</stp>
        <stp>BS_GROSS_FIX_ASSET</stp>
        <stp>FQ3 1999</stp>
        <stp>FQ3 1999</stp>
        <stp>[FA1_j2ahgkxc.xlsx]Bal Sheet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3"/>
      </tp>
      <tp t="s">
        <v>—</v>
        <stp/>
        <stp>##V3_BDHV12</stp>
        <stp>AMZN US Equity</stp>
        <stp>OTHER_INTANGIBLE_ASSETS_DETAILED</stp>
        <stp>FQ1 2000</stp>
        <stp>FQ1 2000</stp>
        <stp>[FA1_j2ahgkxc.xlsx]Bal Sheet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3"/>
      </tp>
      <tp>
        <v>366.97699999999998</v>
        <stp/>
        <stp>##V3_BDHV12</stp>
        <stp>AMZN US Equity</stp>
        <stp>BS_GROSS_FIX_ASSET</stp>
        <stp>FQ4 1999</stp>
        <stp>FQ4 1999</stp>
        <stp>[FA1_j2ahgkxc.xlsx]Bal Sheet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3"/>
      </tp>
      <tp>
        <v>287</v>
        <stp/>
        <stp>##V3_BDHV12</stp>
        <stp>AMZN US Equity</stp>
        <stp>EBITDA</stp>
        <stp>FQ2 2008</stp>
        <stp>FQ2 2008</stp>
        <stp>[FA1_j2ahgkxc.xlsx]Income - Adjusted!R46C40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6" s="2"/>
      </tp>
      <tp>
        <v>158</v>
        <stp/>
        <stp>##V3_BDHV12</stp>
        <stp>AMZN US Equity</stp>
        <stp>NET_INCOME</stp>
        <stp>FQ2 2008</stp>
        <stp>FQ2 2008</stp>
        <stp>[FA1_j2ahgkxc.xlsx]Income - Adjusted!R26C40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6" s="2"/>
      </tp>
      <tp>
        <v>38</v>
        <stp/>
        <stp>##V3_BDHV12</stp>
        <stp>AMZN US Equity</stp>
        <stp>PRETAX_INC</stp>
        <stp>FQ3 2006</stp>
        <stp>FQ3 2006</stp>
        <stp>[FA1_j2ahgkxc.xlsx]Income - Adjusted!R20C33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0" s="2"/>
      </tp>
      <tp>
        <v>-35.08</v>
        <stp/>
        <stp>##V3_BDHV12</stp>
        <stp>AMZN US Equity</stp>
        <stp>PRETAX_INC</stp>
        <stp>FQ3 2002</stp>
        <stp>FQ3 2002</stp>
        <stp>[FA1_j2ahgkxc.xlsx]Income - Adjusted!R20C17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0" s="2"/>
      </tp>
      <tp>
        <v>5.0869999999999997</v>
        <stp/>
        <stp>##V3_BDHV12</stp>
        <stp>AMZN US Equity</stp>
        <stp>PRETAX_INC</stp>
        <stp>FQ4 2001</stp>
        <stp>FQ4 2001</stp>
        <stp>[FA1_j2ahgkxc.xlsx]Income - Adjusted!R20C14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0" s="2"/>
      </tp>
      <tp>
        <v>161</v>
        <stp/>
        <stp>##V3_BDHV12</stp>
        <stp>AMZN US Equity</stp>
        <stp>PRETAX_INC</stp>
        <stp>FQ4 2005</stp>
        <stp>FQ4 2005</stp>
        <stp>[FA1_j2ahgkxc.xlsx]Income - Adjusted!R20C30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0" s="2"/>
      </tp>
      <tp>
        <v>1076</v>
        <stp/>
        <stp>##V3_BDHV12</stp>
        <stp>AMZN US Equity</stp>
        <stp>IS_OPERATING_EXPN</stp>
        <stp>FQ4 2008</stp>
        <stp>FQ4 2008</stp>
        <stp>[FA1_j2ahgkxc.xlsx]Income - Adjusted!R9C42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9" s="2"/>
      </tp>
      <tp>
        <v>567.16499999999996</v>
        <stp/>
        <stp>##V3_BDHV12</stp>
        <stp>AMZN US Equity</stp>
        <stp>BS_CUR_LIAB</stp>
        <stp>FQ1 2000</stp>
        <stp>FQ1 2000</stp>
        <stp>[FA1_j2ahgkxc.xlsx]Bal Sheet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659.09699999999998</v>
        <stp/>
        <stp>##V3_BDHV12</stp>
        <stp>AMZN US Equity</stp>
        <stp>BS_CUR_LIAB</stp>
        <stp>FQ3 2000</stp>
        <stp>FQ3 2000</stp>
        <stp>[FA1_j2ahgkxc.xlsx]Bal Sheet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0.1071</v>
        <stp/>
        <stp>##V3_BDHV12</stp>
        <stp>AMZN US Equity</stp>
        <stp>FREE_CASH_FLOW_PER_SH</stp>
        <stp>FQ4 1998</stp>
        <stp>FQ4 1998</stp>
        <stp>[FA1_j2ahgkxc.xlsx]Per Share!R23C3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3" s="5"/>
      </tp>
      <tp>
        <v>269.79399999999998</v>
        <stp/>
        <stp>##V3_BDHV12</stp>
        <stp>AMZN US Equity</stp>
        <stp>IS_OPERATING_EXPN</stp>
        <stp>FQ4 2002</stp>
        <stp>FQ4 2002</stp>
        <stp>[FA1_j2ahgkxc.xlsx]Income - Adjusted!R9C18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 t="s">
        <v>—</v>
        <stp/>
        <stp>##V3_BDHV12</stp>
        <stp>AMZN US Equity</stp>
        <stp>EQY_FLOAT</stp>
        <stp>FQ4 1999</stp>
        <stp>FQ4 1999</stp>
        <stp>[FA1_j2ahgkxc.xlsx]Stock Value!R14C6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4" s="6"/>
      </tp>
      <tp>
        <v>2795</v>
        <stp/>
        <stp>##V3_BDHV12</stp>
        <stp>AMZN US Equity</stp>
        <stp>ACCT_PAYABLE_&amp;_ACCRUALS_DETAILED</stp>
        <stp>FQ4 2007</stp>
        <stp>FQ4 2007</stp>
        <stp>[FA1_j2ahgkxc.xlsx]Bal Sheet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3"/>
      </tp>
      <tp>
        <v>2242</v>
        <stp/>
        <stp>##V3_BDHV12</stp>
        <stp>AMZN US Equity</stp>
        <stp>ACCT_PAYABLE_&amp;_ACCRUALS_DETAILED</stp>
        <stp>FQ3 2008</stp>
        <stp>FQ3 2008</stp>
        <stp>[FA1_j2ahgkxc.xlsx]Bal Sheet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3"/>
      </tp>
      <tp>
        <v>1816</v>
        <stp/>
        <stp>##V3_BDHV12</stp>
        <stp>AMZN US Equity</stp>
        <stp>ACCT_PAYABLE_&amp;_ACCRUALS_DETAILED</stp>
        <stp>FQ4 2006</stp>
        <stp>FQ4 2006</stp>
        <stp>[FA1_j2ahgkxc.xlsx]Bal Sheet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3"/>
      </tp>
      <tp>
        <v>1366</v>
        <stp/>
        <stp>##V3_BDHV12</stp>
        <stp>AMZN US Equity</stp>
        <stp>ACCT_PAYABLE_&amp;_ACCRUALS_DETAILED</stp>
        <stp>FQ4 2005</stp>
        <stp>FQ4 2005</stp>
        <stp>[FA1_j2ahgkxc.xlsx]Bal Sheet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3"/>
      </tp>
      <tp>
        <v>0</v>
        <stp/>
        <stp>##V3_BDHV12</stp>
        <stp>AMZN US Equity</stp>
        <stp>OTHER_INTANGIBLE_ASSETS_DETAILED</stp>
        <stp>FQ2 2006</stp>
        <stp>FQ2 2006</stp>
        <stp>[FA1_j2ahgkxc.xlsx]Bal Sheet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3"/>
      </tp>
      <tp>
        <v>1753</v>
        <stp/>
        <stp>##V3_BDHV12</stp>
        <stp>AMZN US Equity</stp>
        <stp>SALES_REV_TURN</stp>
        <stp>FQ2 2005</stp>
        <stp>FQ2 2005</stp>
        <stp>[FA1_j2ahgkxc.xlsx]Income - Adjusted!R6C28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1858</v>
        <stp/>
        <stp>##V3_BDHV12</stp>
        <stp>AMZN US Equity</stp>
        <stp>SALES_REV_TURN</stp>
        <stp>FQ3 2005</stp>
        <stp>FQ3 2005</stp>
        <stp>[FA1_j2ahgkxc.xlsx]Income - Adjusted!R6C29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0.65900000000000003</v>
        <stp/>
        <stp>##V3_BDHV12</stp>
        <stp>AMZN US Equity</stp>
        <stp>OTHER_INTANGIBLE_ASSETS_DETAILED</stp>
        <stp>FQ3 2003</stp>
        <stp>FQ3 2003</stp>
        <stp>[FA1_j2ahgkxc.xlsx]Bal Sheet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3"/>
      </tp>
      <tp>
        <v>0</v>
        <stp/>
        <stp>##V3_BDHV12</stp>
        <stp>AMZN US Equity</stp>
        <stp>OTHER_INTANGIBLE_ASSETS_DETAILED</stp>
        <stp>FQ3 2004</stp>
        <stp>FQ3 2004</stp>
        <stp>[FA1_j2ahgkxc.xlsx]Bal Sheet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3"/>
      </tp>
      <tp>
        <v>410.69</v>
        <stp/>
        <stp>##V3_BDHV12</stp>
        <stp>AMZN US Equity</stp>
        <stp>CF_NET_CHNG_CASH</stp>
        <stp>FQ4 2002</stp>
        <stp>FQ4 2002</stp>
        <stp>[FA1_j2ahgkxc.xlsx]Cash Flow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4"/>
      </tp>
      <tp>
        <v>0</v>
        <stp/>
        <stp>##V3_BDHV12</stp>
        <stp>AMZN US Equity</stp>
        <stp>OTHER_INTANGIBLE_ASSETS_DETAILED</stp>
        <stp>FQ2 2007</stp>
        <stp>FQ2 2007</stp>
        <stp>[FA1_j2ahgkxc.xlsx]Bal Sheet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3"/>
      </tp>
      <tp>
        <v>107.97499999999999</v>
        <stp/>
        <stp>##V3_BDHV12</stp>
        <stp>AMZN US Equity</stp>
        <stp>CF_NET_CHNG_CASH</stp>
        <stp>FQ4 2001</stp>
        <stp>FQ4 2001</stp>
        <stp>[FA1_j2ahgkxc.xlsx]Cash Flow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4"/>
      </tp>
      <tp>
        <v>0</v>
        <stp/>
        <stp>##V3_BDHV12</stp>
        <stp>AMZN US Equity</stp>
        <stp>OTHER_INTANGIBLE_ASSETS_DETAILED</stp>
        <stp>FQ3 2005</stp>
        <stp>FQ3 2005</stp>
        <stp>[FA1_j2ahgkxc.xlsx]Bal Sheet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3"/>
      </tp>
      <tp>
        <v>175.387</v>
        <stp/>
        <stp>##V3_BDHV12</stp>
        <stp>AMZN US Equity</stp>
        <stp>CF_NET_CHNG_CASH</stp>
        <stp>FQ4 2000</stp>
        <stp>FQ4 2000</stp>
        <stp>[FA1_j2ahgkxc.xlsx]Cash Flow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4"/>
      </tp>
      <tp>
        <v>143</v>
        <stp/>
        <stp>##V3_BDHV12</stp>
        <stp>AMZN US Equity</stp>
        <stp>IS_INC_BEF_XO_ITEM</stp>
        <stp>FQ1 2008</stp>
        <stp>FQ1 2008</stp>
        <stp>[FA1_j2ahgkxc.xlsx]Income - Adjusted!R22C39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2"/>
      </tp>
      <tp>
        <v>1963</v>
        <stp/>
        <stp>##V3_BDHV12</stp>
        <stp>AMZN US Equity</stp>
        <stp>BS_ACCT_PAYABLE</stp>
        <stp>FQ2 2008</stp>
        <stp>FQ2 2008</stp>
        <stp>[FA1_j2ahgkxc.xlsx]Bal Sheet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3"/>
      </tp>
      <tp>
        <v>18.55</v>
        <stp/>
        <stp>##V3_BDHV12</stp>
        <stp>AMZN US Equity</stp>
        <stp>PX_LOW</stp>
        <stp>FQ1 2003</stp>
        <stp>FQ1 2003</stp>
        <stp>[FA1_j2ahgkxc.xlsx]Stock Value!R10C19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0" s="6"/>
      </tp>
      <tp>
        <v>1141.7329999999999</v>
        <stp/>
        <stp>##V3_BDHV12</stp>
        <stp>AMZN US Equity</stp>
        <stp>BS_ACCT_PAYABLE</stp>
        <stp>FQ4 2004</stp>
        <stp>FQ4 2004</stp>
        <stp>[FA1_j2ahgkxc.xlsx]Bal Sheet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3"/>
      </tp>
      <tp>
        <v>819.81100000000004</v>
        <stp/>
        <stp>##V3_BDHV12</stp>
        <stp>AMZN US Equity</stp>
        <stp>BS_ACCT_PAYABLE</stp>
        <stp>FQ4 2003</stp>
        <stp>FQ4 2003</stp>
        <stp>[FA1_j2ahgkxc.xlsx]Bal Sheet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3"/>
      </tp>
      <tp>
        <v>61.2</v>
        <stp/>
        <stp>##V3_BDHV12</stp>
        <stp>AMZN US Equity</stp>
        <stp>PX_LOW</stp>
        <stp>FQ1 2008</stp>
        <stp>FQ1 2008</stp>
        <stp>[FA1_j2ahgkxc.xlsx]Stock Value!R10C39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0" s="6"/>
      </tp>
      <tp t="s">
        <v>—</v>
        <stp/>
        <stp>##V3_BDHV12</stp>
        <stp>AMZN US Equity</stp>
        <stp>BS_OPTIONS_OUTSTANDING</stp>
        <stp>FQ3 2000</stp>
        <stp>FQ3 2000</stp>
        <stp>[FA1_j2ahgkxc.xlsx]Bal Sheet - Standardized!R64C9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4" s="3"/>
      </tp>
      <tp>
        <v>3450</v>
        <stp/>
        <stp>##V3_BDHV12</stp>
        <stp>AMZN US Equity</stp>
        <stp>BS_TOT_LIAB2</stp>
        <stp>FQ4 2005</stp>
        <stp>FQ4 2005</stp>
        <stp>[FA1_j2ahgkxc.xlsx]Bal Sheet - Standardized!R46C30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3"/>
      </tp>
      <tp>
        <v>3932</v>
        <stp/>
        <stp>##V3_BDHV12</stp>
        <stp>AMZN US Equity</stp>
        <stp>BS_TOT_LIAB2</stp>
        <stp>FQ4 2006</stp>
        <stp>FQ4 2006</stp>
        <stp>[FA1_j2ahgkxc.xlsx]Bal Sheet - Standardized!R46C34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3"/>
      </tp>
      <tp>
        <v>5288</v>
        <stp/>
        <stp>##V3_BDHV12</stp>
        <stp>AMZN US Equity</stp>
        <stp>BS_TOT_LIAB2</stp>
        <stp>FQ4 2007</stp>
        <stp>FQ4 2007</stp>
        <stp>[FA1_j2ahgkxc.xlsx]Bal Sheet - Standardized!R46C38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3"/>
      </tp>
      <tp>
        <v>4039</v>
        <stp/>
        <stp>##V3_BDHV12</stp>
        <stp>AMZN US Equity</stp>
        <stp>BS_TOT_LIAB2</stp>
        <stp>FQ3 2008</stp>
        <stp>FQ3 2008</stp>
        <stp>[FA1_j2ahgkxc.xlsx]Bal Sheet - Standardized!R46C41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3"/>
      </tp>
      <tp>
        <v>-5.1215999999999999</v>
        <stp/>
        <stp>##V3_BDHV12</stp>
        <stp>AMZN US Equity</stp>
        <stp>EBITDA_MARGIN</stp>
        <stp>FQ3 2000</stp>
        <stp>FQ3 2000</stp>
        <stp>[FA1_j2ahgkxc.xlsx]Income - Adjusted!R47C9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7" s="2"/>
      </tp>
      <tp>
        <v>-8.3732000000000006</v>
        <stp/>
        <stp>##V3_BDHV12</stp>
        <stp>AMZN US Equity</stp>
        <stp>EBITDA_MARGIN</stp>
        <stp>FQ1 2000</stp>
        <stp>FQ1 2000</stp>
        <stp>[FA1_j2ahgkxc.xlsx]Income - Adjusted!R47C8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7" s="2"/>
      </tp>
      <tp>
        <v>0</v>
        <stp/>
        <stp>##V3_BDHV12</stp>
        <stp>AMZN US Equity</stp>
        <stp>NET_CHG_IN_LT_INVEST_DETAILED</stp>
        <stp>FQ3 1999</stp>
        <stp>FQ3 1999</stp>
        <stp>[FA1_j2ahgkxc.xlsx]Cash Flow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4"/>
      </tp>
      <tp>
        <v>0</v>
        <stp/>
        <stp>##V3_BDHV12</stp>
        <stp>AMZN US Equity</stp>
        <stp>NET_CHG_IN_LT_INVEST_DETAILED</stp>
        <stp>FQ2 1999</stp>
        <stp>FQ2 1999</stp>
        <stp>[FA1_j2ahgkxc.xlsx]Cash Flow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4"/>
      </tp>
      <tp>
        <v>0</v>
        <stp/>
        <stp>##V3_BDHV12</stp>
        <stp>AMZN US Equity</stp>
        <stp>NET_CHG_IN_LT_INVEST_DETAILED</stp>
        <stp>FQ4 1999</stp>
        <stp>FQ4 1999</stp>
        <stp>[FA1_j2ahgkxc.xlsx]Cash Flow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4"/>
      </tp>
      <tp>
        <v>0</v>
        <stp/>
        <stp>##V3_BDHV12</stp>
        <stp>AMZN US Equity</stp>
        <stp>NET_CHG_IN_LT_INVEST_DETAILED</stp>
        <stp>FQ1 1999</stp>
        <stp>FQ1 1999</stp>
        <stp>[FA1_j2ahgkxc.xlsx]Cash Flow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4"/>
      </tp>
      <tp>
        <v>-0.44009999999999999</v>
        <stp/>
        <stp>##V3_BDHV12</stp>
        <stp>AMZN US Equity</stp>
        <stp>FREE_CASH_FLOW_PER_SH</stp>
        <stp>FQ3 1999</stp>
        <stp>FQ3 1999</stp>
        <stp>[FA1_j2ahgkxc.xlsx]Per Share!R23C6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3" s="5"/>
      </tp>
      <tp>
        <v>-0.11550000000000001</v>
        <stp/>
        <stp>##V3_BDHV12</stp>
        <stp>AMZN US Equity</stp>
        <stp>FREE_CASH_FLOW_PER_SH</stp>
        <stp>FQ1 1999</stp>
        <stp>FQ1 1999</stp>
        <stp>[FA1_j2ahgkxc.xlsx]Per Share!R23C4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3" s="5"/>
      </tp>
      <tp>
        <v>1963</v>
        <stp/>
        <stp>##V3_BDHV12</stp>
        <stp>AMZN US Equity</stp>
        <stp>ACCT_PAYABLE_&amp;_ACCRUALS_DETAILED</stp>
        <stp>FQ2 2008</stp>
        <stp>FQ2 2008</stp>
        <stp>[FA1_j2ahgkxc.xlsx]Bal Sheet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3"/>
      </tp>
      <tp>
        <v>819.81100000000004</v>
        <stp/>
        <stp>##V3_BDHV12</stp>
        <stp>AMZN US Equity</stp>
        <stp>ACCT_PAYABLE_&amp;_ACCRUALS_DETAILED</stp>
        <stp>FQ4 2003</stp>
        <stp>FQ4 2003</stp>
        <stp>[FA1_j2ahgkxc.xlsx]Bal Sheet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3"/>
      </tp>
      <tp>
        <v>1141.7329999999999</v>
        <stp/>
        <stp>##V3_BDHV12</stp>
        <stp>AMZN US Equity</stp>
        <stp>ACCT_PAYABLE_&amp;_ACCRUALS_DETAILED</stp>
        <stp>FQ4 2004</stp>
        <stp>FQ4 2004</stp>
        <stp>[FA1_j2ahgkxc.xlsx]Bal Sheet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3"/>
      </tp>
      <tp>
        <v>112.122</v>
        <stp/>
        <stp>##V3_BDHV12</stp>
        <stp>AMZN US Equity</stp>
        <stp>OTHER_NONCURRENT_ASSETS_DETAILED</stp>
        <stp>FQ4 2000</stp>
        <stp>FQ4 2000</stp>
        <stp>[FA1_j2ahgkxc.xlsx]Bal Sheet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3"/>
      </tp>
      <tp>
        <v>6.9589999999999996</v>
        <stp/>
        <stp>##V3_BDHV12</stp>
        <stp>AMZN US Equity</stp>
        <stp>OTHER_INTANGIBLE_ASSETS_DETAILED</stp>
        <stp>FQ1 2002</stp>
        <stp>FQ1 2002</stp>
        <stp>[FA1_j2ahgkxc.xlsx]Bal Sheet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3"/>
      </tp>
      <tp>
        <v>0</v>
        <stp/>
        <stp>##V3_BDHV12</stp>
        <stp>AMZN US Equity</stp>
        <stp>OTHER_INTANGIBLE_ASSETS_DETAILED</stp>
        <stp>FQ3 2006</stp>
        <stp>FQ3 2006</stp>
        <stp>[FA1_j2ahgkxc.xlsx]Bal Sheet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3"/>
      </tp>
      <tp>
        <v>1428.61</v>
        <stp/>
        <stp>##V3_BDHV12</stp>
        <stp>AMZN US Equity</stp>
        <stp>SALES_REV_TURN</stp>
        <stp>FQ4 2002</stp>
        <stp>FQ4 2002</stp>
        <stp>[FA1_j2ahgkxc.xlsx]Income - Adjusted!R6C18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>
        <v>60.155000000000001</v>
        <stp/>
        <stp>##V3_BDHV12</stp>
        <stp>AMZN US Equity</stp>
        <stp>OTHER_NONCURRENT_ASSETS_DETAILED</stp>
        <stp>FQ4 2001</stp>
        <stp>FQ4 2001</stp>
        <stp>[FA1_j2ahgkxc.xlsx]Bal Sheet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3"/>
      </tp>
      <tp>
        <v>123.996</v>
        <stp/>
        <stp>##V3_BDHV12</stp>
        <stp>AMZN US Equity</stp>
        <stp>OTHER_INTANGIBLE_ASSETS_DETAILED</stp>
        <stp>FQ1 2001</stp>
        <stp>FQ1 2001</stp>
        <stp>[FA1_j2ahgkxc.xlsx]Bal Sheet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3"/>
      </tp>
      <tp>
        <v>1.635</v>
        <stp/>
        <stp>##V3_BDHV12</stp>
        <stp>AMZN US Equity</stp>
        <stp>OTHER_INTANGIBLE_ASSETS_DETAILED</stp>
        <stp>FQ2 2003</stp>
        <stp>FQ2 2003</stp>
        <stp>[FA1_j2ahgkxc.xlsx]Bal Sheet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3"/>
      </tp>
      <tp>
        <v>0</v>
        <stp/>
        <stp>##V3_BDHV12</stp>
        <stp>AMZN US Equity</stp>
        <stp>OTHER_INTANGIBLE_ASSETS_DETAILED</stp>
        <stp>FQ2 2004</stp>
        <stp>FQ2 2004</stp>
        <stp>[FA1_j2ahgkxc.xlsx]Bal Sheet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3"/>
      </tp>
      <tp>
        <v>0</v>
        <stp/>
        <stp>##V3_BDHV12</stp>
        <stp>AMZN US Equity</stp>
        <stp>OTHER_INTANGIBLE_ASSETS_DETAILED</stp>
        <stp>FQ3 2007</stp>
        <stp>FQ3 2007</stp>
        <stp>[FA1_j2ahgkxc.xlsx]Bal Sheet - Standardized!R26C37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3"/>
      </tp>
      <tp>
        <v>29.791</v>
        <stp/>
        <stp>##V3_BDHV12</stp>
        <stp>AMZN US Equity</stp>
        <stp>BS_NET_FIX_ASSET</stp>
        <stp>FQ4 1998</stp>
        <stp>FQ4 1998</stp>
        <stp>[FA1_j2ahgkxc.xlsx]Bal Sheet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156.333</v>
        <stp/>
        <stp>##V3_BDHV12</stp>
        <stp>AMZN US Equity</stp>
        <stp>BS_NET_FIX_ASSET</stp>
        <stp>FQ2 1999</stp>
        <stp>FQ2 1999</stp>
        <stp>[FA1_j2ahgkxc.xlsx]Bal Sheet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3"/>
      </tp>
      <tp>
        <v>6704</v>
        <stp/>
        <stp>##V3_BDHV12</stp>
        <stp>AMZN US Equity</stp>
        <stp>SALES_REV_TURN</stp>
        <stp>FQ4 2008</stp>
        <stp>FQ4 2008</stp>
        <stp>[FA1_j2ahgkxc.xlsx]Income - Adjusted!R6C42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" s="2"/>
      </tp>
      <tp>
        <v>60.6</v>
        <stp/>
        <stp>##V3_BDHV12</stp>
        <stp>AMZN US Equity</stp>
        <stp>BS_NET_FIX_ASSET</stp>
        <stp>FQ1 1999</stp>
        <stp>FQ1 1999</stp>
        <stp>[FA1_j2ahgkxc.xlsx]Bal Sheet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3"/>
      </tp>
      <tp>
        <v>221.24299999999999</v>
        <stp/>
        <stp>##V3_BDHV12</stp>
        <stp>AMZN US Equity</stp>
        <stp>BS_NET_FIX_ASSET</stp>
        <stp>FQ3 1999</stp>
        <stp>FQ3 1999</stp>
        <stp>[FA1_j2ahgkxc.xlsx]Bal Sheet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3"/>
      </tp>
      <tp>
        <v>0</v>
        <stp/>
        <stp>##V3_BDHV12</stp>
        <stp>AMZN US Equity</stp>
        <stp>OTHER_INTANGIBLE_ASSETS_DETAILED</stp>
        <stp>FQ4 2008</stp>
        <stp>FQ4 2008</stp>
        <stp>[FA1_j2ahgkxc.xlsx]Bal Sheet - Standardized!R26C42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3"/>
      </tp>
      <tp>
        <v>0</v>
        <stp/>
        <stp>##V3_BDHV12</stp>
        <stp>AMZN US Equity</stp>
        <stp>OTHER_INTANGIBLE_ASSETS_DETAILED</stp>
        <stp>FQ2 2005</stp>
        <stp>FQ2 2005</stp>
        <stp>[FA1_j2ahgkxc.xlsx]Bal Sheet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3"/>
      </tp>
      <tp>
        <v>46.097999999999999</v>
        <stp/>
        <stp>##V3_BDHV12</stp>
        <stp>AMZN US Equity</stp>
        <stp>OTHER_NONCURRENT_ASSETS_DETAILED</stp>
        <stp>FQ4 2002</stp>
        <stp>FQ4 2002</stp>
        <stp>[FA1_j2ahgkxc.xlsx]Bal Sheet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3"/>
      </tp>
      <tp>
        <v>317.613</v>
        <stp/>
        <stp>##V3_BDHV12</stp>
        <stp>AMZN US Equity</stp>
        <stp>BS_NET_FIX_ASSET</stp>
        <stp>FQ4 1999</stp>
        <stp>FQ4 1999</stp>
        <stp>[FA1_j2ahgkxc.xlsx]Bal Sheet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2.548</v>
        <stp/>
        <stp>##V3_BDHV12</stp>
        <stp>AMZN US Equity</stp>
        <stp>OTHER_INTANGIBLE_ASSETS_DETAILED</stp>
        <stp>FQ1 2003</stp>
        <stp>FQ1 2003</stp>
        <stp>[FA1_j2ahgkxc.xlsx]Bal Sheet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3"/>
      </tp>
      <tp>
        <v>2795</v>
        <stp/>
        <stp>##V3_BDHV12</stp>
        <stp>AMZN US Equity</stp>
        <stp>BS_ACCT_PAYABLE</stp>
        <stp>FQ4 2007</stp>
        <stp>FQ4 2007</stp>
        <stp>[FA1_j2ahgkxc.xlsx]Bal Sheet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3"/>
      </tp>
      <tp>
        <v>2242</v>
        <stp/>
        <stp>##V3_BDHV12</stp>
        <stp>AMZN US Equity</stp>
        <stp>BS_ACCT_PAYABLE</stp>
        <stp>FQ3 2008</stp>
        <stp>FQ3 2008</stp>
        <stp>[FA1_j2ahgkxc.xlsx]Bal Sheet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3"/>
      </tp>
      <tp>
        <v>1816</v>
        <stp/>
        <stp>##V3_BDHV12</stp>
        <stp>AMZN US Equity</stp>
        <stp>BS_ACCT_PAYABLE</stp>
        <stp>FQ4 2006</stp>
        <stp>FQ4 2006</stp>
        <stp>[FA1_j2ahgkxc.xlsx]Bal Sheet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3"/>
      </tp>
      <tp>
        <v>1366</v>
        <stp/>
        <stp>##V3_BDHV12</stp>
        <stp>AMZN US Equity</stp>
        <stp>BS_ACCT_PAYABLE</stp>
        <stp>FQ4 2005</stp>
        <stp>FQ4 2005</stp>
        <stp>[FA1_j2ahgkxc.xlsx]Bal Sheet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3"/>
      </tp>
      <tp>
        <v>-0.59</v>
        <stp/>
        <stp>##V3_BDHV12</stp>
        <stp>AMZN US Equity</stp>
        <stp>IS_DIL_EPS_BEF_XO</stp>
        <stp>FQ3 1999</stp>
        <stp>FQ3 1999</stp>
        <stp>[FA1_j2ahgkxc.xlsx]Income - Adjusted!R41C6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1" s="2"/>
      </tp>
      <tp>
        <v>-0.2</v>
        <stp/>
        <stp>##V3_BDHV12</stp>
        <stp>AMZN US Equity</stp>
        <stp>IS_DIL_EPS_BEF_XO</stp>
        <stp>FQ1 1999</stp>
        <stp>FQ1 1999</stp>
        <stp>[FA1_j2ahgkxc.xlsx]Income - Adjusted!R41C4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1" s="2"/>
      </tp>
      <tp>
        <v>301.72300000000001</v>
        <stp/>
        <stp>##V3_BDHV12</stp>
        <stp>AMZN US Equity</stp>
        <stp>BS_SH_CAP_AND_APIC</stp>
        <stp>FQ4 1998</stp>
        <stp>FQ4 1998</stp>
        <stp>[FA1_j2ahgkxc.xlsx]Bal Sheet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3"/>
      </tp>
      <tp>
        <v>981.10599999999999</v>
        <stp/>
        <stp>##V3_BDHV12</stp>
        <stp>AMZN US Equity</stp>
        <stp>BS_SH_CAP_AND_APIC</stp>
        <stp>FQ2 1999</stp>
        <stp>FQ2 1999</stp>
        <stp>[FA1_j2ahgkxc.xlsx]Bal Sheet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3"/>
      </tp>
      <tp>
        <v>308.02800000000002</v>
        <stp/>
        <stp>##V3_BDHV12</stp>
        <stp>AMZN US Equity</stp>
        <stp>BS_SH_CAP_AND_APIC</stp>
        <stp>FQ1 1999</stp>
        <stp>FQ1 1999</stp>
        <stp>[FA1_j2ahgkxc.xlsx]Bal Sheet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3"/>
      </tp>
      <tp>
        <v>1031.048</v>
        <stp/>
        <stp>##V3_BDHV12</stp>
        <stp>AMZN US Equity</stp>
        <stp>BS_SH_CAP_AND_APIC</stp>
        <stp>FQ3 1999</stp>
        <stp>FQ3 1999</stp>
        <stp>[FA1_j2ahgkxc.xlsx]Bal Sheet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3"/>
      </tp>
      <tp>
        <v>1198.9919</v>
        <stp/>
        <stp>##V3_BDHV12</stp>
        <stp>AMZN US Equity</stp>
        <stp>BS_SH_CAP_AND_APIC</stp>
        <stp>FQ4 1999</stp>
        <stp>FQ4 1999</stp>
        <stp>[FA1_j2ahgkxc.xlsx]Bal Sheet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3"/>
      </tp>
      <tp>
        <v>3198.14</v>
        <stp/>
        <stp>##V3_BDHV12</stp>
        <stp>AMZN US Equity</stp>
        <stp>BS_TOT_LIAB2</stp>
        <stp>FQ4 2003</stp>
        <stp>FQ4 2003</stp>
        <stp>[FA1_j2ahgkxc.xlsx]Bal Sheet - Standardized!R46C22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3"/>
      </tp>
      <tp>
        <v>349</v>
        <stp/>
        <stp>##V3_BDHV12</stp>
        <stp>AMZN US Equity</stp>
        <stp>EBITDA</stp>
        <stp>FQ4 2008</stp>
        <stp>FQ4 2008</stp>
        <stp>[FA1_j2ahgkxc.xlsx]Income - Adjusted!R46C42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6" s="2"/>
      </tp>
      <tp>
        <v>86.141000000000005</v>
        <stp/>
        <stp>##V3_BDHV12</stp>
        <stp>AMZN US Equity</stp>
        <stp>EBITDA</stp>
        <stp>FQ4 2002</stp>
        <stp>FQ4 2002</stp>
        <stp>[FA1_j2ahgkxc.xlsx]Income - Adjusted!R46C18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6" s="2"/>
      </tp>
      <tp>
        <v>58.975000000000001</v>
        <stp/>
        <stp>##V3_BDHV12</stp>
        <stp>AMZN US Equity</stp>
        <stp>EBITDA</stp>
        <stp>FQ1 2003</stp>
        <stp>FQ1 2003</stp>
        <stp>[FA1_j2ahgkxc.xlsx]Income - Adjusted!R46C19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6" s="2"/>
      </tp>
      <tp>
        <v>3475.7190000000001</v>
        <stp/>
        <stp>##V3_BDHV12</stp>
        <stp>AMZN US Equity</stp>
        <stp>BS_TOT_LIAB2</stp>
        <stp>FQ4 2004</stp>
        <stp>FQ4 2004</stp>
        <stp>[FA1_j2ahgkxc.xlsx]Bal Sheet - Standardized!R46C26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3"/>
      </tp>
      <tp>
        <v>2.6509999999999998</v>
        <stp/>
        <stp>##V3_BDHV12</stp>
        <stp>AMZN US Equity</stp>
        <stp>NET_INCOME</stp>
        <stp>FQ4 2002</stp>
        <stp>FQ4 2002</stp>
        <stp>[FA1_j2ahgkxc.xlsx]Income - Adjusted!R26C18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6" s="2"/>
      </tp>
      <tp>
        <v>225</v>
        <stp/>
        <stp>##V3_BDHV12</stp>
        <stp>AMZN US Equity</stp>
        <stp>NET_INCOME</stp>
        <stp>FQ4 2008</stp>
        <stp>FQ4 2008</stp>
        <stp>[FA1_j2ahgkxc.xlsx]Income - Adjusted!R26C42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6" s="2"/>
      </tp>
      <tp>
        <v>-10.121</v>
        <stp/>
        <stp>##V3_BDHV12</stp>
        <stp>AMZN US Equity</stp>
        <stp>NET_INCOME</stp>
        <stp>FQ1 2003</stp>
        <stp>FQ1 2003</stp>
        <stp>[FA1_j2ahgkxc.xlsx]Income - Adjusted!R26C19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6" s="2"/>
      </tp>
      <tp>
        <v>4092</v>
        <stp/>
        <stp>##V3_BDHV12</stp>
        <stp>AMZN US Equity</stp>
        <stp>BS_TOT_LIAB2</stp>
        <stp>FQ2 2008</stp>
        <stp>FQ2 2008</stp>
        <stp>[FA1_j2ahgkxc.xlsx]Bal Sheet - Standardized!R46C40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3"/>
      </tp>
      <tp>
        <v>111.136</v>
        <stp/>
        <stp>##V3_BDHV12</stp>
        <stp>AMZN US Equity</stp>
        <stp>PRETAX_INC</stp>
        <stp>FQ1 2004</stp>
        <stp>FQ1 2004</stp>
        <stp>[FA1_j2ahgkxc.xlsx]Income - Adjusted!R20C23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0" s="2"/>
      </tp>
      <tp>
        <v>96</v>
        <stp/>
        <stp>##V3_BDHV12</stp>
        <stp>AMZN US Equity</stp>
        <stp>PRETAX_INC</stp>
        <stp>FQ1 2006</stp>
        <stp>FQ1 2006</stp>
        <stp>[FA1_j2ahgkxc.xlsx]Income - Adjusted!R20C31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0" s="2"/>
      </tp>
      <tp>
        <v>-23.951000000000001</v>
        <stp/>
        <stp>##V3_BDHV12</stp>
        <stp>AMZN US Equity</stp>
        <stp>PRETAX_INC</stp>
        <stp>FQ1 2002</stp>
        <stp>FQ1 2002</stp>
        <stp>[FA1_j2ahgkxc.xlsx]Income - Adjusted!R20C15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0" s="2"/>
      </tp>
      <tp>
        <v>10</v>
        <stp/>
        <stp>##V3_BDHV12</stp>
        <stp>AMZN US Equity</stp>
        <stp>CF_ACCT_RCV_UNBILLED_REV</stp>
        <stp>FQ1 2005</stp>
        <stp>FQ1 2005</stp>
        <stp>[FA1_j2ahgkxc.xlsx]Cash Flow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4"/>
      </tp>
      <tp>
        <v>0</v>
        <stp/>
        <stp>##V3_BDHV12</stp>
        <stp>AMZN US Equity</stp>
        <stp>MINORITY_NONCONTROLLING_INTEREST</stp>
        <stp>FQ2 2006</stp>
        <stp>FQ2 2006</stp>
        <stp>[FA1_j2ahgkxc.xlsx]Bal Sheet - Standardized!R53C32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3" s="3"/>
      </tp>
      <tp t="s">
        <v>—</v>
        <stp/>
        <stp>##V3_BDHV12</stp>
        <stp>AMZN US Equity</stp>
        <stp>CF_ACCT_RCV_UNBILLED_REV</stp>
        <stp>FQ2 2001</stp>
        <stp>FQ2 2001</stp>
        <stp>[FA1_j2ahgkxc.xlsx]Cash Flow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4"/>
      </tp>
      <tp t="s">
        <v>—</v>
        <stp/>
        <stp>##V3_BDHV12</stp>
        <stp>AMZN US Equity</stp>
        <stp>CF_ACCT_RCV_UNBILLED_REV</stp>
        <stp>FQ2 2002</stp>
        <stp>FQ2 2002</stp>
        <stp>[FA1_j2ahgkxc.xlsx]Cash Flow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4"/>
      </tp>
      <tp>
        <v>10.298</v>
        <stp/>
        <stp>##V3_BDHV12</stp>
        <stp>AMZN US Equity</stp>
        <stp>CF_ACCT_RCV_UNBILLED_REV</stp>
        <stp>FQ1 2004</stp>
        <stp>FQ1 2004</stp>
        <stp>[FA1_j2ahgkxc.xlsx]Cash Flow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4"/>
      </tp>
      <tp>
        <v>0</v>
        <stp/>
        <stp>##V3_BDHV12</stp>
        <stp>AMZN US Equity</stp>
        <stp>MINORITY_NONCONTROLLING_INTEREST</stp>
        <stp>FQ2 2007</stp>
        <stp>FQ2 2007</stp>
        <stp>[FA1_j2ahgkxc.xlsx]Bal Sheet - Standardized!R53C36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3" s="3"/>
      </tp>
      <tp>
        <v>0</v>
        <stp/>
        <stp>##V3_BDHV12</stp>
        <stp>AMZN US Equity</stp>
        <stp>MINORITY_NONCONTROLLING_INTEREST</stp>
        <stp>FQ3 2004</stp>
        <stp>FQ3 2004</stp>
        <stp>[FA1_j2ahgkxc.xlsx]Bal Sheet - Standardized!R53C25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3" s="3"/>
      </tp>
      <tp>
        <v>0</v>
        <stp/>
        <stp>##V3_BDHV12</stp>
        <stp>AMZN US Equity</stp>
        <stp>MINORITY_NONCONTROLLING_INTEREST</stp>
        <stp>FQ3 2003</stp>
        <stp>FQ3 2003</stp>
        <stp>[FA1_j2ahgkxc.xlsx]Bal Sheet - Standardized!R53C21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3" s="3"/>
      </tp>
      <tp>
        <v>0</v>
        <stp/>
        <stp>##V3_BDHV12</stp>
        <stp>AMZN US Equity</stp>
        <stp>MINORITY_NONCONTROLLING_INTEREST</stp>
        <stp>FQ3 2005</stp>
        <stp>FQ3 2005</stp>
        <stp>[FA1_j2ahgkxc.xlsx]Bal Sheet - Standardized!R53C29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3" s="3"/>
      </tp>
      <tp>
        <v>534.69899999999996</v>
        <stp/>
        <stp>##V3_BDHV12</stp>
        <stp>AMZN US Equity</stp>
        <stp>BS_DISCLOSED_INTANGIBLES</stp>
        <stp>FQ4 1999</stp>
        <stp>FQ4 1999</stp>
        <stp>[FA1_j2ahgkxc.xlsx]Bal Sheet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705.93200000000002</v>
        <stp/>
        <stp>##V3_BDHV12</stp>
        <stp>AMZN US Equity</stp>
        <stp>BS_DISCLOSED_INTANGIBLES</stp>
        <stp>FQ3 1999</stp>
        <stp>FQ3 1999</stp>
        <stp>[FA1_j2ahgkxc.xlsx]Bal Sheet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3"/>
      </tp>
      <tp>
        <v>187.19399999999999</v>
        <stp/>
        <stp>##V3_BDHV12</stp>
        <stp>AMZN US Equity</stp>
        <stp>BS_DISCLOSED_INTANGIBLES</stp>
        <stp>FQ1 1999</stp>
        <stp>FQ1 1999</stp>
        <stp>[FA1_j2ahgkxc.xlsx]Bal Sheet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3"/>
      </tp>
      <tp>
        <v>657.1</v>
        <stp/>
        <stp>##V3_BDHV12</stp>
        <stp>AMZN US Equity</stp>
        <stp>BS_DISCLOSED_INTANGIBLES</stp>
        <stp>FQ2 1999</stp>
        <stp>FQ2 1999</stp>
        <stp>[FA1_j2ahgkxc.xlsx]Bal Sheet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186.37700000000001</v>
        <stp/>
        <stp>##V3_BDHV12</stp>
        <stp>AMZN US Equity</stp>
        <stp>BS_DISCLOSED_INTANGIBLES</stp>
        <stp>FQ4 1998</stp>
        <stp>FQ4 1998</stp>
        <stp>[FA1_j2ahgkxc.xlsx]Bal Sheet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700.35599999999999</v>
        <stp/>
        <stp>##V3_BDHV12</stp>
        <stp>AMZN US Equity</stp>
        <stp>SALES_REV_TURN</stp>
        <stp>FQ1 2001</stp>
        <stp>FQ1 2001</stp>
        <stp>[FA1_j2ahgkxc.xlsx]Income - Adjusted!R6C11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639.28099999999995</v>
        <stp/>
        <stp>##V3_BDHV12</stp>
        <stp>AMZN US Equity</stp>
        <stp>SALES_REV_TURN</stp>
        <stp>FQ3 2001</stp>
        <stp>FQ3 2001</stp>
        <stp>[FA1_j2ahgkxc.xlsx]Income - Adjusted!R6C13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667.625</v>
        <stp/>
        <stp>##V3_BDHV12</stp>
        <stp>AMZN US Equity</stp>
        <stp>SALES_REV_TURN</stp>
        <stp>FQ2 2001</stp>
        <stp>FQ2 2001</stp>
        <stp>[FA1_j2ahgkxc.xlsx]Income - Adjusted!R6C12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1115.171</v>
        <stp/>
        <stp>##V3_BDHV12</stp>
        <stp>AMZN US Equity</stp>
        <stp>SALES_REV_TURN</stp>
        <stp>FQ4 2001</stp>
        <stp>FQ4 2001</stp>
        <stp>[FA1_j2ahgkxc.xlsx]Income - Adjusted!R6C14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1099.912</v>
        <stp/>
        <stp>##V3_BDHV12</stp>
        <stp>AMZN US Equity</stp>
        <stp>SALES_REV_TURN</stp>
        <stp>FQ2 2003</stp>
        <stp>FQ2 2003</stp>
        <stp>[FA1_j2ahgkxc.xlsx]Income - Adjusted!R6C20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1134.4561000000001</v>
        <stp/>
        <stp>##V3_BDHV12</stp>
        <stp>AMZN US Equity</stp>
        <stp>SALES_REV_TURN</stp>
        <stp>FQ3 2003</stp>
        <stp>FQ3 2003</stp>
        <stp>[FA1_j2ahgkxc.xlsx]Income - Adjusted!R6C21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2977</v>
        <stp/>
        <stp>##V3_BDHV12</stp>
        <stp>AMZN US Equity</stp>
        <stp>SALES_REV_TURN</stp>
        <stp>FQ4 2005</stp>
        <stp>FQ4 2005</stp>
        <stp>[FA1_j2ahgkxc.xlsx]Income - Adjusted!R6C30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76.48</v>
        <stp/>
        <stp>##V3_BDHV12</stp>
        <stp>AMZN US Equity</stp>
        <stp>IS_INC_BEF_XO_ITEM</stp>
        <stp>FQ2 2004</stp>
        <stp>FQ2 2004</stp>
        <stp>[FA1_j2ahgkxc.xlsx]Income - Adjusted!R22C24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2"/>
      </tp>
      <tp>
        <v>32.82</v>
        <stp/>
        <stp>##V3_BDHV12</stp>
        <stp>AMZN US Equity</stp>
        <stp>PX_LOW</stp>
        <stp>FQ1 2005</stp>
        <stp>FQ1 2005</stp>
        <stp>[FA1_j2ahgkxc.xlsx]Stock Value!R10C27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0" s="6"/>
      </tp>
      <tp>
        <v>0</v>
        <stp/>
        <stp>##V3_BDHV12</stp>
        <stp>AMZN US Equity</stp>
        <stp>OTHER_NONCUR_LIABS_SUB_DETAILED</stp>
        <stp>FQ1 2001</stp>
        <stp>FQ1 2001</stp>
        <stp>[FA1_j2ahgkxc.xlsx]Bal Sheet - Standardized!R43C11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3" s="3"/>
      </tp>
      <tp>
        <v>0</v>
        <stp/>
        <stp>##V3_BDHV12</stp>
        <stp>AMZN US Equity</stp>
        <stp>OTHER_NONCUR_LIABS_SUB_DETAILED</stp>
        <stp>FQ2 2003</stp>
        <stp>FQ2 2003</stp>
        <stp>[FA1_j2ahgkxc.xlsx]Bal Sheet - Standardized!R43C20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3" s="3"/>
      </tp>
      <tp>
        <v>34.85</v>
        <stp/>
        <stp>##V3_BDHV12</stp>
        <stp>AMZN US Equity</stp>
        <stp>PX_LOW</stp>
        <stp>FQ3 2004</stp>
        <stp>FQ3 2004</stp>
        <stp>[FA1_j2ahgkxc.xlsx]Stock Value!R10C25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0" s="6"/>
      </tp>
      <tp>
        <v>47</v>
        <stp/>
        <stp>##V3_BDHV12</stp>
        <stp>AMZN US Equity</stp>
        <stp>PX_LOW</stp>
        <stp>FQ4 2003</stp>
        <stp>FQ4 2003</stp>
        <stp>[FA1_j2ahgkxc.xlsx]Stock Value!R10C22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0" s="6"/>
      </tp>
      <tp>
        <v>0</v>
        <stp/>
        <stp>##V3_BDHV12</stp>
        <stp>AMZN US Equity</stp>
        <stp>OTHER_NONCUR_LIABS_SUB_DETAILED</stp>
        <stp>FQ2 2004</stp>
        <stp>FQ2 2004</stp>
        <stp>[FA1_j2ahgkxc.xlsx]Bal Sheet - Standardized!R43C24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3" s="3"/>
      </tp>
      <tp>
        <v>40.549999999999997</v>
        <stp/>
        <stp>##V3_BDHV12</stp>
        <stp>AMZN US Equity</stp>
        <stp>PX_LOW</stp>
        <stp>FQ2 2004</stp>
        <stp>FQ2 2004</stp>
        <stp>[FA1_j2ahgkxc.xlsx]Stock Value!R10C24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0" s="6"/>
      </tp>
      <tp>
        <v>265</v>
        <stp/>
        <stp>##V3_BDHV12</stp>
        <stp>AMZN US Equity</stp>
        <stp>OTHER_NONCUR_LIABS_SUB_DETAILED</stp>
        <stp>FQ3 2007</stp>
        <stp>FQ3 2007</stp>
        <stp>[FA1_j2ahgkxc.xlsx]Bal Sheet - Standardized!R43C37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3" s="3"/>
      </tp>
      <tp>
        <v>5.0869999999999997</v>
        <stp/>
        <stp>##V3_BDHV12</stp>
        <stp>AMZN US Equity</stp>
        <stp>IS_INC_BEF_XO_ITEM</stp>
        <stp>FQ4 2001</stp>
        <stp>FQ4 2001</stp>
        <stp>[FA1_j2ahgkxc.xlsx]Income - Adjusted!R22C14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2"/>
      </tp>
      <tp>
        <v>0</v>
        <stp/>
        <stp>##V3_BDHV12</stp>
        <stp>AMZN US Equity</stp>
        <stp>OTHER_NONCUR_LIABS_SUB_DETAILED</stp>
        <stp>FQ3 2006</stp>
        <stp>FQ3 2006</stp>
        <stp>[FA1_j2ahgkxc.xlsx]Bal Sheet - Standardized!R43C33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3" s="3"/>
      </tp>
      <tp>
        <v>0</v>
        <stp/>
        <stp>##V3_BDHV12</stp>
        <stp>AMZN US Equity</stp>
        <stp>OTHER_NONCUR_LIABS_SUB_DETAILED</stp>
        <stp>FQ1 2002</stp>
        <stp>FQ1 2002</stp>
        <stp>[FA1_j2ahgkxc.xlsx]Bal Sheet - Standardized!R43C15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3" s="3"/>
      </tp>
      <tp>
        <v>51</v>
        <stp/>
        <stp>##V3_BDHV12</stp>
        <stp>AMZN US Equity</stp>
        <stp>IS_INC_BEF_XO_ITEM</stp>
        <stp>FQ1 2006</stp>
        <stp>FQ1 2006</stp>
        <stp>[FA1_j2ahgkxc.xlsx]Income - Adjusted!R22C31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2"/>
      </tp>
      <tp>
        <v>34.68</v>
        <stp/>
        <stp>##V3_BDHV12</stp>
        <stp>AMZN US Equity</stp>
        <stp>PX_LOW</stp>
        <stp>FQ4 2008</stp>
        <stp>FQ4 2008</stp>
        <stp>[FA1_j2ahgkxc.xlsx]Stock Value!R10C42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0" s="6"/>
      </tp>
      <tp>
        <v>0</v>
        <stp/>
        <stp>##V3_BDHV12</stp>
        <stp>AMZN US Equity</stp>
        <stp>OTHER_NONCUR_LIABS_SUB_DETAILED</stp>
        <stp>FQ1 2003</stp>
        <stp>FQ1 2003</stp>
        <stp>[FA1_j2ahgkxc.xlsx]Bal Sheet - Standardized!R43C19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3" s="3"/>
      </tp>
      <tp>
        <v>30</v>
        <stp/>
        <stp>##V3_BDHV12</stp>
        <stp>AMZN US Equity</stp>
        <stp>IS_INC_BEF_XO_ITEM</stp>
        <stp>FQ3 2005</stp>
        <stp>FQ3 2005</stp>
        <stp>[FA1_j2ahgkxc.xlsx]Income - Adjusted!R22C29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2"/>
      </tp>
      <tp>
        <v>363</v>
        <stp/>
        <stp>##V3_BDHV12</stp>
        <stp>AMZN US Equity</stp>
        <stp>OTHER_NONCUR_LIABS_SUB_DETAILED</stp>
        <stp>FQ4 2008</stp>
        <stp>FQ4 2008</stp>
        <stp>[FA1_j2ahgkxc.xlsx]Bal Sheet - Standardized!R43C42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3" s="3"/>
      </tp>
      <tp>
        <v>0</v>
        <stp/>
        <stp>##V3_BDHV12</stp>
        <stp>AMZN US Equity</stp>
        <stp>OTHER_NONCUR_LIABS_SUB_DETAILED</stp>
        <stp>FQ2 2005</stp>
        <stp>FQ2 2005</stp>
        <stp>[FA1_j2ahgkxc.xlsx]Bal Sheet - Standardized!R43C28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3" s="3"/>
      </tp>
      <tp>
        <v>-0.68</v>
        <stp/>
        <stp>##V3_BDHV12</stp>
        <stp>AMZN US Equity</stp>
        <stp>IS_DIL_EPS_BEF_XO</stp>
        <stp>FQ3 2000</stp>
        <stp>FQ3 2000</stp>
        <stp>[FA1_j2ahgkxc.xlsx]Income - Adjusted!R41C9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1" s="2"/>
      </tp>
      <tp>
        <v>80.356999999999999</v>
        <stp/>
        <stp>##V3_BDHV12</stp>
        <stp>AMZN US Equity</stp>
        <stp>EBITDA</stp>
        <stp>FQ4 2001</stp>
        <stp>FQ4 2001</stp>
        <stp>[FA1_j2ahgkxc.xlsx]Income - Adjusted!R46C14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6" s="2"/>
      </tp>
      <tp>
        <v>202</v>
        <stp/>
        <stp>##V3_BDHV12</stp>
        <stp>AMZN US Equity</stp>
        <stp>EBITDA</stp>
        <stp>FQ4 2005</stp>
        <stp>FQ4 2005</stp>
        <stp>[FA1_j2ahgkxc.xlsx]Income - Adjusted!R46C30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6" s="2"/>
      </tp>
      <tp>
        <v>103</v>
        <stp/>
        <stp>##V3_BDHV12</stp>
        <stp>AMZN US Equity</stp>
        <stp>EBITDA</stp>
        <stp>FQ3 2006</stp>
        <stp>FQ3 2006</stp>
        <stp>[FA1_j2ahgkxc.xlsx]Income - Adjusted!R46C33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6" s="2"/>
      </tp>
      <tp>
        <v>48.825000000000003</v>
        <stp/>
        <stp>##V3_BDHV12</stp>
        <stp>AMZN US Equity</stp>
        <stp>EBITDA</stp>
        <stp>FQ3 2002</stp>
        <stp>FQ3 2002</stp>
        <stp>[FA1_j2ahgkxc.xlsx]Income - Adjusted!R46C17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6" s="2"/>
      </tp>
      <tp>
        <v>199</v>
        <stp/>
        <stp>##V3_BDHV12</stp>
        <stp>AMZN US Equity</stp>
        <stp>NET_INCOME</stp>
        <stp>FQ4 2005</stp>
        <stp>FQ4 2005</stp>
        <stp>[FA1_j2ahgkxc.xlsx]Income - Adjusted!R26C30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6" s="2"/>
      </tp>
      <tp>
        <v>5.0869999999999997</v>
        <stp/>
        <stp>##V3_BDHV12</stp>
        <stp>AMZN US Equity</stp>
        <stp>NET_INCOME</stp>
        <stp>FQ4 2001</stp>
        <stp>FQ4 2001</stp>
        <stp>[FA1_j2ahgkxc.xlsx]Income - Adjusted!R26C14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6" s="2"/>
      </tp>
      <tp>
        <v>-35.08</v>
        <stp/>
        <stp>##V3_BDHV12</stp>
        <stp>AMZN US Equity</stp>
        <stp>NET_INCOME</stp>
        <stp>FQ3 2002</stp>
        <stp>FQ3 2002</stp>
        <stp>[FA1_j2ahgkxc.xlsx]Income - Adjusted!R26C17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6" s="2"/>
      </tp>
      <tp>
        <v>19</v>
        <stp/>
        <stp>##V3_BDHV12</stp>
        <stp>AMZN US Equity</stp>
        <stp>NET_INCOME</stp>
        <stp>FQ3 2006</stp>
        <stp>FQ3 2006</stp>
        <stp>[FA1_j2ahgkxc.xlsx]Income - Adjusted!R26C33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6" s="2"/>
      </tp>
      <tp>
        <v>328.37200000000001</v>
        <stp/>
        <stp>##V3_BDHV12</stp>
        <stp>AMZN US Equity</stp>
        <stp>FREE_CASH_FLOW_EQUITY</stp>
        <stp>FQ1 2000</stp>
        <stp>FQ1 2000</stp>
        <stp>[FA1_j2ahgkxc.xlsx]Cash Flow - Standardized!R51C7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1" s="4"/>
      </tp>
      <tp>
        <v>2291</v>
        <stp/>
        <stp>##V3_BDHV12</stp>
        <stp>AMZN US Equity</stp>
        <stp>BS_SH_CAP_AND_APIC</stp>
        <stp>FQ1 2006</stp>
        <stp>FQ1 2006</stp>
        <stp>[FA1_j2ahgkxc.xlsx]Bal Sheet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3"/>
      </tp>
      <tp>
        <v>1553.9301</v>
        <stp/>
        <stp>##V3_BDHV12</stp>
        <stp>AMZN US Equity</stp>
        <stp>BS_SH_CAP_AND_APIC</stp>
        <stp>FQ3 2002</stp>
        <stp>FQ3 2002</stp>
        <stp>[FA1_j2ahgkxc.xlsx]Bal Sheet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3"/>
      </tp>
      <tp>
        <v>3195</v>
        <stp/>
        <stp>##V3_BDHV12</stp>
        <stp>AMZN US Equity</stp>
        <stp>BS_SH_CAP_AND_APIC</stp>
        <stp>FQ1 2008</stp>
        <stp>FQ1 2008</stp>
        <stp>[FA1_j2ahgkxc.xlsx]Bal Sheet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3"/>
      </tp>
      <tp>
        <v>1459.4110000000001</v>
        <stp/>
        <stp>##V3_BDHV12</stp>
        <stp>AMZN US Equity</stp>
        <stp>BS_SH_CAP_AND_APIC</stp>
        <stp>FQ3 2001</stp>
        <stp>FQ3 2001</stp>
        <stp>[FA1_j2ahgkxc.xlsx]Bal Sheet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3"/>
      </tp>
      <tp>
        <v>2590</v>
        <stp/>
        <stp>##V3_BDHV12</stp>
        <stp>AMZN US Equity</stp>
        <stp>BS_SH_CAP_AND_APIC</stp>
        <stp>FQ1 2007</stp>
        <stp>FQ1 2007</stp>
        <stp>[FA1_j2ahgkxc.xlsx]Bal Sheet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3"/>
      </tp>
      <tp>
        <v>204</v>
        <stp/>
        <stp>##V3_BDHV12</stp>
        <stp>AMZN US Equity</stp>
        <stp>PRETAX_INC</stp>
        <stp>FQ2 2008</stp>
        <stp>FQ2 2008</stp>
        <stp>[FA1_j2ahgkxc.xlsx]Income - Adjusted!R20C40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0" s="2"/>
      </tp>
      <tp t="s">
        <v>—</v>
        <stp/>
        <stp>##V3_BDHV12</stp>
        <stp>AMZN US Equity</stp>
        <stp>BS_GROSS_FIX_ASSET</stp>
        <stp>FQ1 2008</stp>
        <stp>FQ1 2008</stp>
        <stp>[FA1_j2ahgkxc.xlsx]Bal Sheet - Standardized!R20C39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3"/>
      </tp>
      <tp>
        <v>447.47500000000002</v>
        <stp/>
        <stp>##V3_BDHV12</stp>
        <stp>AMZN US Equity</stp>
        <stp>BS_GROSS_FIX_ASSET</stp>
        <stp>FQ3 2001</stp>
        <stp>FQ3 2001</stp>
        <stp>[FA1_j2ahgkxc.xlsx]Bal Sheet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3"/>
      </tp>
      <tp t="s">
        <v>—</v>
        <stp/>
        <stp>##V3_BDHV12</stp>
        <stp>AMZN US Equity</stp>
        <stp>BS_GROSS_FIX_ASSET</stp>
        <stp>FQ1 2007</stp>
        <stp>FQ1 2007</stp>
        <stp>[FA1_j2ahgkxc.xlsx]Bal Sheet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3"/>
      </tp>
      <tp t="s">
        <v>—</v>
        <stp/>
        <stp>##V3_BDHV12</stp>
        <stp>AMZN US Equity</stp>
        <stp>FREE_CASH_FLOW_EQUITY</stp>
        <stp>FQ2 2000</stp>
        <stp>FQ2 2000</stp>
        <stp>[FA1_j2ahgkxc.xlsx]Cash Flow - Standardized!R51C8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1" s="4"/>
      </tp>
      <tp>
        <v>-48.912999999999997</v>
        <stp/>
        <stp>##V3_BDHV12</stp>
        <stp>AMZN US Equity</stp>
        <stp>FREE_CASH_FLOW_EQUITY</stp>
        <stp>FQ3 2000</stp>
        <stp>FQ3 2000</stp>
        <stp>[FA1_j2ahgkxc.xlsx]Cash Flow - Standardized!R51C9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1" s="4"/>
      </tp>
      <tp t="s">
        <v>—</v>
        <stp/>
        <stp>##V3_BDHV12</stp>
        <stp>AMZN US Equity</stp>
        <stp>BS_GROSS_FIX_ASSET</stp>
        <stp>FQ1 2006</stp>
        <stp>FQ1 2006</stp>
        <stp>[FA1_j2ahgkxc.xlsx]Bal Sheet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3"/>
      </tp>
      <tp t="s">
        <v>—</v>
        <stp/>
        <stp>##V3_BDHV12</stp>
        <stp>AMZN US Equity</stp>
        <stp>BS_GROSS_FIX_ASSET</stp>
        <stp>FQ3 2002</stp>
        <stp>FQ3 2002</stp>
        <stp>[FA1_j2ahgkxc.xlsx]Bal Sheet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3"/>
      </tp>
      <tp>
        <v>639</v>
        <stp/>
        <stp>##V3_BDHV12</stp>
        <stp>AMZN US Equity</stp>
        <stp>IS_OPERATING_EXPN</stp>
        <stp>FQ3 2007</stp>
        <stp>FQ3 2007</stp>
        <stp>[FA1_j2ahgkxc.xlsx]Income - Adjusted!R9C37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9" s="2"/>
      </tp>
      <tp>
        <v>585</v>
        <stp/>
        <stp>##V3_BDHV12</stp>
        <stp>AMZN US Equity</stp>
        <stp>IS_OPERATING_EXPN</stp>
        <stp>FQ2 2007</stp>
        <stp>FQ2 2007</stp>
        <stp>[FA1_j2ahgkxc.xlsx]Income - Adjusted!R9C36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>
        <v>574</v>
        <stp/>
        <stp>##V3_BDHV12</stp>
        <stp>AMZN US Equity</stp>
        <stp>IS_OPERATING_EXPN</stp>
        <stp>FQ1 2007</stp>
        <stp>FQ1 2007</stp>
        <stp>[FA1_j2ahgkxc.xlsx]Income - Adjusted!R9C35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>
        <v>350</v>
        <stp/>
        <stp>##V3_BDHV12</stp>
        <stp>AMZN US Equity</stp>
        <stp>IS_OPERATING_EXPN</stp>
        <stp>FQ1 2005</stp>
        <stp>FQ1 2005</stp>
        <stp>[FA1_j2ahgkxc.xlsx]Income - Adjusted!R9C27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>
        <v>66</v>
        <stp/>
        <stp>##V3_BDHV12</stp>
        <stp>AMZN US Equity</stp>
        <stp>CF_ACCT_RCV_UNBILLED_REV</stp>
        <stp>FQ1 2007</stp>
        <stp>FQ1 2007</stp>
        <stp>[FA1_j2ahgkxc.xlsx]Cash Flow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4"/>
      </tp>
      <tp>
        <v>0</v>
        <stp/>
        <stp>##V3_BDHV12</stp>
        <stp>AMZN US Equity</stp>
        <stp>MINORITY_NONCONTROLLING_INTEREST</stp>
        <stp>FQ1 2002</stp>
        <stp>FQ1 2002</stp>
        <stp>[FA1_j2ahgkxc.xlsx]Bal Sheet - Standardized!R53C15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3" s="3"/>
      </tp>
      <tp>
        <v>0</v>
        <stp/>
        <stp>##V3_BDHV12</stp>
        <stp>AMZN US Equity</stp>
        <stp>MINORITY_NONCONTROLLING_INTEREST</stp>
        <stp>FQ3 2006</stp>
        <stp>FQ3 2006</stp>
        <stp>[FA1_j2ahgkxc.xlsx]Bal Sheet - Standardized!R53C33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3" s="3"/>
      </tp>
      <tp>
        <v>139</v>
        <stp/>
        <stp>##V3_BDHV12</stp>
        <stp>AMZN US Equity</stp>
        <stp>CF_ACCT_RCV_UNBILLED_REV</stp>
        <stp>FQ1 2008</stp>
        <stp>FQ1 2008</stp>
        <stp>[FA1_j2ahgkxc.xlsx]Cash Flow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4"/>
      </tp>
      <tp t="s">
        <v>—</v>
        <stp/>
        <stp>##V3_BDHV12</stp>
        <stp>AMZN US Equity</stp>
        <stp>CF_ACCT_RCV_UNBILLED_REV</stp>
        <stp>FQ3 2001</stp>
        <stp>FQ3 2001</stp>
        <stp>[FA1_j2ahgkxc.xlsx]Cash Flow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4"/>
      </tp>
      <tp t="s">
        <v>—</v>
        <stp/>
        <stp>##V3_BDHV12</stp>
        <stp>AMZN US Equity</stp>
        <stp>CF_ACCT_RCV_UNBILLED_REV</stp>
        <stp>FQ3 2002</stp>
        <stp>FQ3 2002</stp>
        <stp>[FA1_j2ahgkxc.xlsx]Cash Flow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4"/>
      </tp>
      <tp>
        <v>50</v>
        <stp/>
        <stp>##V3_BDHV12</stp>
        <stp>AMZN US Equity</stp>
        <stp>CF_ACCT_RCV_UNBILLED_REV</stp>
        <stp>FQ1 2006</stp>
        <stp>FQ1 2006</stp>
        <stp>[FA1_j2ahgkxc.xlsx]Cash Flow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4"/>
      </tp>
      <tp>
        <v>0</v>
        <stp/>
        <stp>##V3_BDHV12</stp>
        <stp>AMZN US Equity</stp>
        <stp>MINORITY_NONCONTROLLING_INTEREST</stp>
        <stp>FQ3 2007</stp>
        <stp>FQ3 2007</stp>
        <stp>[FA1_j2ahgkxc.xlsx]Bal Sheet - Standardized!R53C37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3" s="3"/>
      </tp>
      <tp>
        <v>0</v>
        <stp/>
        <stp>##V3_BDHV12</stp>
        <stp>AMZN US Equity</stp>
        <stp>MINORITY_NONCONTROLLING_INTEREST</stp>
        <stp>FQ2 2004</stp>
        <stp>FQ2 2004</stp>
        <stp>[FA1_j2ahgkxc.xlsx]Bal Sheet - Standardized!R53C24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3" s="3"/>
      </tp>
      <tp>
        <v>0</v>
        <stp/>
        <stp>##V3_BDHV12</stp>
        <stp>AMZN US Equity</stp>
        <stp>MINORITY_NONCONTROLLING_INTEREST</stp>
        <stp>FQ2 2003</stp>
        <stp>FQ2 2003</stp>
        <stp>[FA1_j2ahgkxc.xlsx]Bal Sheet - Standardized!R53C20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3" s="3"/>
      </tp>
      <tp>
        <v>0</v>
        <stp/>
        <stp>##V3_BDHV12</stp>
        <stp>AMZN US Equity</stp>
        <stp>MINORITY_NONCONTROLLING_INTEREST</stp>
        <stp>FQ1 2001</stp>
        <stp>FQ1 2001</stp>
        <stp>[FA1_j2ahgkxc.xlsx]Bal Sheet - Standardized!R53C11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3" s="3"/>
      </tp>
      <tp>
        <v>0</v>
        <stp/>
        <stp>##V3_BDHV12</stp>
        <stp>AMZN US Equity</stp>
        <stp>MINORITY_NONCONTROLLING_INTEREST</stp>
        <stp>FQ2 2005</stp>
        <stp>FQ2 2005</stp>
        <stp>[FA1_j2ahgkxc.xlsx]Bal Sheet - Standardized!R53C28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3" s="3"/>
      </tp>
      <tp t="s">
        <v>—</v>
        <stp/>
        <stp>##V3_BDHV12</stp>
        <stp>AMZN US Equity</stp>
        <stp>MINORITY_NONCONTROLLING_INTEREST</stp>
        <stp>FQ4 2008</stp>
        <stp>FQ4 2008</stp>
        <stp>[FA1_j2ahgkxc.xlsx]Bal Sheet - Standardized!R53C42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3" s="3"/>
      </tp>
      <tp>
        <v>0</v>
        <stp/>
        <stp>##V3_BDHV12</stp>
        <stp>AMZN US Equity</stp>
        <stp>MINORITY_NONCONTROLLING_INTEREST</stp>
        <stp>FQ1 2003</stp>
        <stp>FQ1 2003</stp>
        <stp>[FA1_j2ahgkxc.xlsx]Bal Sheet - Standardized!R53C19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3" s="3"/>
      </tp>
      <tp>
        <v>90.870999999999995</v>
        <stp/>
        <stp>##V3_BDHV12</stp>
        <stp>AMZN US Equity</stp>
        <stp>EBITDA</stp>
        <stp>FQ4 1999</stp>
        <stp>FQ4 1999</stp>
        <stp>[FA1_j2ahgkxc.xlsx]Income - Adjusted!R46C7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6" s="2"/>
      </tp>
      <tp>
        <v>4135</v>
        <stp/>
        <stp>##V3_BDHV12</stp>
        <stp>AMZN US Equity</stp>
        <stp>SALES_REV_TURN</stp>
        <stp>FQ1 2008</stp>
        <stp>FQ1 2008</stp>
        <stp>[FA1_j2ahgkxc.xlsx]Income - Adjusted!R6C39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" s="2"/>
      </tp>
      <tp>
        <v>-545.14</v>
        <stp/>
        <stp>##V3_BDHV12</stp>
        <stp>AMZN US Equity</stp>
        <stp>IS_INC_BEF_XO_ITEM</stp>
        <stp>FQ4 2000</stp>
        <stp>FQ4 2000</stp>
        <stp>[FA1_j2ahgkxc.xlsx]Income - Adjusted!R22C10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2"/>
      </tp>
      <tp>
        <v>54.146999999999998</v>
        <stp/>
        <stp>##V3_BDHV12</stp>
        <stp>AMZN US Equity</stp>
        <stp>IS_INC_BEF_XO_ITEM</stp>
        <stp>FQ3 2004</stp>
        <stp>FQ3 2004</stp>
        <stp>[FA1_j2ahgkxc.xlsx]Income - Adjusted!R22C25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2"/>
      </tp>
      <tp>
        <v>73.153999999999996</v>
        <stp/>
        <stp>##V3_BDHV12</stp>
        <stp>AMZN US Equity</stp>
        <stp>IS_INC_BEF_XO_ITEM</stp>
        <stp>FQ4 2003</stp>
        <stp>FQ4 2003</stp>
        <stp>[FA1_j2ahgkxc.xlsx]Income - Adjusted!R22C22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2"/>
      </tp>
      <tp>
        <v>0</v>
        <stp/>
        <stp>##V3_BDHV12</stp>
        <stp>AMZN US Equity</stp>
        <stp>OTHER_NONCUR_LIABS_SUB_DETAILED</stp>
        <stp>FQ3 2003</stp>
        <stp>FQ3 2003</stp>
        <stp>[FA1_j2ahgkxc.xlsx]Bal Sheet - Standardized!R43C21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3" s="3"/>
      </tp>
      <tp>
        <v>111</v>
        <stp/>
        <stp>##V3_BDHV12</stp>
        <stp>AMZN US Equity</stp>
        <stp>IS_INC_BEF_XO_ITEM</stp>
        <stp>FQ1 2007</stp>
        <stp>FQ1 2007</stp>
        <stp>[FA1_j2ahgkxc.xlsx]Income - Adjusted!R22C35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2"/>
      </tp>
      <tp>
        <v>0</v>
        <stp/>
        <stp>##V3_BDHV12</stp>
        <stp>AMZN US Equity</stp>
        <stp>OTHER_NONCUR_LIABS_SUB_DETAILED</stp>
        <stp>FQ3 2004</stp>
        <stp>FQ3 2004</stp>
        <stp>[FA1_j2ahgkxc.xlsx]Bal Sheet - Standardized!R43C25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3" s="3"/>
      </tp>
      <tp>
        <v>242</v>
        <stp/>
        <stp>##V3_BDHV12</stp>
        <stp>AMZN US Equity</stp>
        <stp>OTHER_NONCUR_LIABS_SUB_DETAILED</stp>
        <stp>FQ2 2007</stp>
        <stp>FQ2 2007</stp>
        <stp>[FA1_j2ahgkxc.xlsx]Bal Sheet - Standardized!R43C36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3" s="3"/>
      </tp>
      <tp>
        <v>0</v>
        <stp/>
        <stp>##V3_BDHV12</stp>
        <stp>AMZN US Equity</stp>
        <stp>OTHER_NONCUR_LIABS_SUB_DETAILED</stp>
        <stp>FQ2 2006</stp>
        <stp>FQ2 2006</stp>
        <stp>[FA1_j2ahgkxc.xlsx]Bal Sheet - Standardized!R43C32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3" s="3"/>
      </tp>
      <tp>
        <v>52</v>
        <stp/>
        <stp>##V3_BDHV12</stp>
        <stp>AMZN US Equity</stp>
        <stp>IS_INC_BEF_XO_ITEM</stp>
        <stp>FQ2 2005</stp>
        <stp>FQ2 2005</stp>
        <stp>[FA1_j2ahgkxc.xlsx]Income - Adjusted!R22C28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2"/>
      </tp>
      <tp t="s">
        <v>—</v>
        <stp/>
        <stp>##V3_BDHV12</stp>
        <stp>AMZN US Equity</stp>
        <stp>BS_OPTIONS_OUTSTANDING</stp>
        <stp>FQ1 1999</stp>
        <stp>FQ1 1999</stp>
        <stp>[FA1_j2ahgkxc.xlsx]Bal Sheet - Standardized!R64C4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4" s="3"/>
      </tp>
      <tp>
        <v>0</v>
        <stp/>
        <stp>##V3_BDHV12</stp>
        <stp>AMZN US Equity</stp>
        <stp>OTHER_NONCUR_LIABS_SUB_DETAILED</stp>
        <stp>FQ3 2005</stp>
        <stp>FQ3 2005</stp>
        <stp>[FA1_j2ahgkxc.xlsx]Bal Sheet - Standardized!R43C29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3" s="3"/>
      </tp>
      <tp t="s">
        <v>—</v>
        <stp/>
        <stp>##V3_BDHV12</stp>
        <stp>AMZN US Equity</stp>
        <stp>BS_OPTIONS_OUTSTANDING</stp>
        <stp>FQ3 1999</stp>
        <stp>FQ3 1999</stp>
        <stp>[FA1_j2ahgkxc.xlsx]Bal Sheet - Standardized!R64C6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4" s="3"/>
      </tp>
      <tp>
        <v>90</v>
        <stp/>
        <stp>##V3_BDHV12</stp>
        <stp>AMZN US Equity</stp>
        <stp>EBITDA</stp>
        <stp>FQ2 2006</stp>
        <stp>FQ2 2006</stp>
        <stp>[FA1_j2ahgkxc.xlsx]Income - Adjusted!R46C32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6" s="2"/>
      </tp>
      <tp>
        <v>23.815999999999999</v>
        <stp/>
        <stp>##V3_BDHV12</stp>
        <stp>AMZN US Equity</stp>
        <stp>EBITDA</stp>
        <stp>FQ2 2002</stp>
        <stp>FQ2 2002</stp>
        <stp>[FA1_j2ahgkxc.xlsx]Income - Adjusted!R46C16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6" s="2"/>
      </tp>
      <tp>
        <v>-93.552999999999997</v>
        <stp/>
        <stp>##V3_BDHV12</stp>
        <stp>AMZN US Equity</stp>
        <stp>NET_INCOME</stp>
        <stp>FQ2 2002</stp>
        <stp>FQ2 2002</stp>
        <stp>[FA1_j2ahgkxc.xlsx]Income - Adjusted!R26C16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6" s="2"/>
      </tp>
      <tp>
        <v>22</v>
        <stp/>
        <stp>##V3_BDHV12</stp>
        <stp>AMZN US Equity</stp>
        <stp>NET_INCOME</stp>
        <stp>FQ2 2006</stp>
        <stp>FQ2 2006</stp>
        <stp>[FA1_j2ahgkxc.xlsx]Income - Adjusted!R26C32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6" s="2"/>
      </tp>
      <tp>
        <v>1927.15</v>
        <stp/>
        <stp>##V3_BDHV12</stp>
        <stp>AMZN US Equity</stp>
        <stp>BS_SH_CAP_AND_APIC</stp>
        <stp>FQ1 2004</stp>
        <stp>FQ1 2004</stp>
        <stp>[FA1_j2ahgkxc.xlsx]Bal Sheet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3"/>
      </tp>
      <tp>
        <v>1550.7439999999999</v>
        <stp/>
        <stp>##V3_BDHV12</stp>
        <stp>AMZN US Equity</stp>
        <stp>BS_SH_CAP_AND_APIC</stp>
        <stp>FQ2 2002</stp>
        <stp>FQ2 2002</stp>
        <stp>[FA1_j2ahgkxc.xlsx]Bal Sheet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3"/>
      </tp>
      <tp>
        <v>1359.838</v>
        <stp/>
        <stp>##V3_BDHV12</stp>
        <stp>AMZN US Equity</stp>
        <stp>BS_SH_CAP_AND_APIC</stp>
        <stp>FQ2 2001</stp>
        <stp>FQ2 2001</stp>
        <stp>[FA1_j2ahgkxc.xlsx]Bal Sheet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3"/>
      </tp>
      <tp>
        <v>2122</v>
        <stp/>
        <stp>##V3_BDHV12</stp>
        <stp>AMZN US Equity</stp>
        <stp>BS_SH_CAP_AND_APIC</stp>
        <stp>FQ1 2005</stp>
        <stp>FQ1 2005</stp>
        <stp>[FA1_j2ahgkxc.xlsx]Bal Sheet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3"/>
      </tp>
      <tp>
        <v>177</v>
        <stp/>
        <stp>##V3_BDHV12</stp>
        <stp>AMZN US Equity</stp>
        <stp>PRETAX_INC</stp>
        <stp>FQ3 2008</stp>
        <stp>FQ3 2008</stp>
        <stp>[FA1_j2ahgkxc.xlsx]Income - Adjusted!R20C41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0" s="2"/>
      </tp>
      <tp>
        <v>430.18799999999999</v>
        <stp/>
        <stp>##V3_BDHV12</stp>
        <stp>AMZN US Equity</stp>
        <stp>BS_GROSS_FIX_ASSET</stp>
        <stp>FQ2 2001</stp>
        <stp>FQ2 2001</stp>
        <stp>[FA1_j2ahgkxc.xlsx]Bal Sheet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3"/>
      </tp>
      <tp t="s">
        <v>—</v>
        <stp/>
        <stp>##V3_BDHV12</stp>
        <stp>AMZN US Equity</stp>
        <stp>BS_GROSS_FIX_ASSET</stp>
        <stp>FQ1 2005</stp>
        <stp>FQ1 2005</stp>
        <stp>[FA1_j2ahgkxc.xlsx]Bal Sheet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3"/>
      </tp>
      <tp t="s">
        <v>—</v>
        <stp/>
        <stp>##V3_BDHV12</stp>
        <stp>AMZN US Equity</stp>
        <stp>BS_GROSS_FIX_ASSET</stp>
        <stp>FQ1 2004</stp>
        <stp>FQ1 2004</stp>
        <stp>[FA1_j2ahgkxc.xlsx]Bal Sheet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3"/>
      </tp>
      <tp t="s">
        <v>—</v>
        <stp/>
        <stp>##V3_BDHV12</stp>
        <stp>AMZN US Equity</stp>
        <stp>BS_GROSS_FIX_ASSET</stp>
        <stp>FQ2 2002</stp>
        <stp>FQ2 2002</stp>
        <stp>[FA1_j2ahgkxc.xlsx]Bal Sheet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3"/>
      </tp>
      <tp>
        <v>-0.12889999999999999</v>
        <stp/>
        <stp>##V3_BDHV12</stp>
        <stp>AMZN US Equity</stp>
        <stp>FREE_CASH_FLOW_PER_SH</stp>
        <stp>FQ3 2000</stp>
        <stp>FQ3 2000</stp>
        <stp>[FA1_j2ahgkxc.xlsx]Per Share!R23C9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3" s="5"/>
      </tp>
      <tp>
        <v>261.92200000000003</v>
        <stp/>
        <stp>##V3_BDHV12</stp>
        <stp>AMZN US Equity</stp>
        <stp>IS_OPERATING_EXPN</stp>
        <stp>FQ2 2004</stp>
        <stp>FQ2 2004</stp>
        <stp>[FA1_j2ahgkxc.xlsx]Income - Adjusted!R9C24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>
        <v>274.37700000000001</v>
        <stp/>
        <stp>##V3_BDHV12</stp>
        <stp>AMZN US Equity</stp>
        <stp>IS_OPERATING_EXPN</stp>
        <stp>FQ3 2004</stp>
        <stp>FQ3 2004</stp>
        <stp>[FA1_j2ahgkxc.xlsx]Income - Adjusted!R9C25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>
        <v>-22.867999999999999</v>
        <stp/>
        <stp>##V3_BDHV12</stp>
        <stp>AMZN US Equity</stp>
        <stp>CF_ACCT_RCV_UNBILLED_REV</stp>
        <stp>FQ3 2004</stp>
        <stp>FQ3 2004</stp>
        <stp>[FA1_j2ahgkxc.xlsx]Cash Flow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4"/>
      </tp>
      <tp>
        <v>-10</v>
        <stp/>
        <stp>##V3_BDHV12</stp>
        <stp>AMZN US Equity</stp>
        <stp>CF_ACCT_RCV_UNBILLED_REV</stp>
        <stp>FQ2 2007</stp>
        <stp>FQ2 2007</stp>
        <stp>[FA1_j2ahgkxc.xlsx]Cash Flow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4"/>
      </tp>
      <tp>
        <v>0</v>
        <stp/>
        <stp>##V3_BDHV12</stp>
        <stp>AMZN US Equity</stp>
        <stp>MINORITY_NONCONTROLLING_INTEREST</stp>
        <stp>FQ2 2002</stp>
        <stp>FQ2 2002</stp>
        <stp>[FA1_j2ahgkxc.xlsx]Bal Sheet - Standardized!R53C16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3" s="3"/>
      </tp>
      <tp>
        <v>0</v>
        <stp/>
        <stp>##V3_BDHV12</stp>
        <stp>AMZN US Equity</stp>
        <stp>MINORITY_NONCONTROLLING_INTEREST</stp>
        <stp>FQ1 2004</stp>
        <stp>FQ1 2004</stp>
        <stp>[FA1_j2ahgkxc.xlsx]Bal Sheet - Standardized!R53C23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3" s="3"/>
      </tp>
      <tp>
        <v>-14.843999999999999</v>
        <stp/>
        <stp>##V3_BDHV12</stp>
        <stp>AMZN US Equity</stp>
        <stp>CF_ACCT_RCV_UNBILLED_REV</stp>
        <stp>FQ3 2003</stp>
        <stp>FQ3 2003</stp>
        <stp>[FA1_j2ahgkxc.xlsx]Cash Flow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4"/>
      </tp>
      <tp>
        <v>16</v>
        <stp/>
        <stp>##V3_BDHV12</stp>
        <stp>AMZN US Equity</stp>
        <stp>CF_ACCT_RCV_UNBILLED_REV</stp>
        <stp>FQ2 2006</stp>
        <stp>FQ2 2006</stp>
        <stp>[FA1_j2ahgkxc.xlsx]Cash Flow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4"/>
      </tp>
      <tp>
        <v>0</v>
        <stp/>
        <stp>##V3_BDHV12</stp>
        <stp>AMZN US Equity</stp>
        <stp>MINORITY_NONCONTROLLING_INTEREST</stp>
        <stp>FQ1 2005</stp>
        <stp>FQ1 2005</stp>
        <stp>[FA1_j2ahgkxc.xlsx]Bal Sheet - Standardized!R53C27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3" s="3"/>
      </tp>
      <tp>
        <v>0</v>
        <stp/>
        <stp>##V3_BDHV12</stp>
        <stp>AMZN US Equity</stp>
        <stp>MINORITY_NONCONTROLLING_INTEREST</stp>
        <stp>FQ2 2001</stp>
        <stp>FQ2 2001</stp>
        <stp>[FA1_j2ahgkxc.xlsx]Bal Sheet - Standardized!R53C12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3" s="3"/>
      </tp>
      <tp>
        <v>-12</v>
        <stp/>
        <stp>##V3_BDHV12</stp>
        <stp>AMZN US Equity</stp>
        <stp>CF_ACCT_RCV_UNBILLED_REV</stp>
        <stp>FQ3 2005</stp>
        <stp>FQ3 2005</stp>
        <stp>[FA1_j2ahgkxc.xlsx]Cash Flow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4"/>
      </tp>
      <tp>
        <v>1902</v>
        <stp/>
        <stp>##V3_BDHV12</stp>
        <stp>AMZN US Equity</stp>
        <stp>SALES_REV_TURN</stp>
        <stp>FQ1 2005</stp>
        <stp>FQ1 2005</stp>
        <stp>[FA1_j2ahgkxc.xlsx]Income - Adjusted!R6C27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3262</v>
        <stp/>
        <stp>##V3_BDHV12</stp>
        <stp>AMZN US Equity</stp>
        <stp>SALES_REV_TURN</stp>
        <stp>FQ3 2007</stp>
        <stp>FQ3 2007</stp>
        <stp>[FA1_j2ahgkxc.xlsx]Income - Adjusted!R6C37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" s="2"/>
      </tp>
      <tp>
        <v>2886</v>
        <stp/>
        <stp>##V3_BDHV12</stp>
        <stp>AMZN US Equity</stp>
        <stp>SALES_REV_TURN</stp>
        <stp>FQ2 2007</stp>
        <stp>FQ2 2007</stp>
        <stp>[FA1_j2ahgkxc.xlsx]Income - Adjusted!R6C36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>
        <v>3015</v>
        <stp/>
        <stp>##V3_BDHV12</stp>
        <stp>AMZN US Equity</stp>
        <stp>SALES_REV_TURN</stp>
        <stp>FQ1 2007</stp>
        <stp>FQ1 2007</stp>
        <stp>[FA1_j2ahgkxc.xlsx]Income - Adjusted!R6C35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>
        <v>39.549999999999997</v>
        <stp/>
        <stp>##V3_BDHV12</stp>
        <stp>AMZN US Equity</stp>
        <stp>PX_LOW</stp>
        <stp>FQ2 2007</stp>
        <stp>FQ2 2007</stp>
        <stp>[FA1_j2ahgkxc.xlsx]Stock Value!R10C36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0" s="6"/>
      </tp>
      <tp>
        <v>395</v>
        <stp/>
        <stp>##V3_BDHV12</stp>
        <stp>AMZN US Equity</stp>
        <stp>OTHER_NONCUR_LIABS_SUB_DETAILED</stp>
        <stp>FQ1 2008</stp>
        <stp>FQ1 2008</stp>
        <stp>[FA1_j2ahgkxc.xlsx]Bal Sheet - Standardized!R43C39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3" s="3"/>
      </tp>
      <tp>
        <v>68.010000000000005</v>
        <stp/>
        <stp>##V3_BDHV12</stp>
        <stp>AMZN US Equity</stp>
        <stp>PX_LOW</stp>
        <stp>FQ3 2007</stp>
        <stp>FQ3 2007</stp>
        <stp>[FA1_j2ahgkxc.xlsx]Stock Value!R10C37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0" s="6"/>
      </tp>
      <tp>
        <v>14.875</v>
        <stp/>
        <stp>##V3_BDHV12</stp>
        <stp>AMZN US Equity</stp>
        <stp>PX_LOW</stp>
        <stp>FQ4 2000</stp>
        <stp>FQ4 2000</stp>
        <stp>[FA1_j2ahgkxc.xlsx]Stock Value!R10C10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0" s="6"/>
      </tp>
      <tp>
        <v>78</v>
        <stp/>
        <stp>##V3_BDHV12</stp>
        <stp>AMZN US Equity</stp>
        <stp>IS_INC_BEF_XO_ITEM</stp>
        <stp>FQ2 2007</stp>
        <stp>FQ2 2007</stp>
        <stp>[FA1_j2ahgkxc.xlsx]Income - Adjusted!R22C36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2"/>
      </tp>
      <tp>
        <v>0</v>
        <stp/>
        <stp>##V3_BDHV12</stp>
        <stp>AMZN US Equity</stp>
        <stp>OTHER_NONCUR_LIABS_SUB_DETAILED</stp>
        <stp>FQ3 2001</stp>
        <stp>FQ3 2001</stp>
        <stp>[FA1_j2ahgkxc.xlsx]Bal Sheet - Standardized!R43C13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3" s="3"/>
      </tp>
      <tp>
        <v>52</v>
        <stp/>
        <stp>##V3_BDHV12</stp>
        <stp>AMZN US Equity</stp>
        <stp>IS_INC_BEF_XO_ITEM</stp>
        <stp>FQ1 2005</stp>
        <stp>FQ1 2005</stp>
        <stp>[FA1_j2ahgkxc.xlsx]Income - Adjusted!R22C27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2"/>
      </tp>
      <tp>
        <v>36.299999999999997</v>
        <stp/>
        <stp>##V3_BDHV12</stp>
        <stp>AMZN US Equity</stp>
        <stp>PX_LOW</stp>
        <stp>FQ1 2007</stp>
        <stp>FQ1 2007</stp>
        <stp>[FA1_j2ahgkxc.xlsx]Stock Value!R10C35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0" s="6"/>
      </tp>
      <tp>
        <v>210</v>
        <stp/>
        <stp>##V3_BDHV12</stp>
        <stp>AMZN US Equity</stp>
        <stp>OTHER_NONCUR_LIABS_SUB_DETAILED</stp>
        <stp>FQ1 2007</stp>
        <stp>FQ1 2007</stp>
        <stp>[FA1_j2ahgkxc.xlsx]Bal Sheet - Standardized!R43C35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3" s="3"/>
      </tp>
      <tp>
        <v>38.72</v>
        <stp/>
        <stp>##V3_BDHV12</stp>
        <stp>AMZN US Equity</stp>
        <stp>PX_LOW</stp>
        <stp>FQ4 2005</stp>
        <stp>FQ4 2005</stp>
        <stp>[FA1_j2ahgkxc.xlsx]Stock Value!R10C30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0" s="6"/>
      </tp>
      <tp>
        <v>12.26</v>
        <stp/>
        <stp>##V3_BDHV12</stp>
        <stp>AMZN US Equity</stp>
        <stp>PX_LOW</stp>
        <stp>FQ3 2002</stp>
        <stp>FQ3 2002</stp>
        <stp>[FA1_j2ahgkxc.xlsx]Stock Value!R10C17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0" s="6"/>
      </tp>
      <tp>
        <v>12.52</v>
        <stp/>
        <stp>##V3_BDHV12</stp>
        <stp>AMZN US Equity</stp>
        <stp>PX_LOW</stp>
        <stp>FQ2 2002</stp>
        <stp>FQ2 2002</stp>
        <stp>[FA1_j2ahgkxc.xlsx]Stock Value!R10C16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0" s="6"/>
      </tp>
      <tp>
        <v>19</v>
        <stp/>
        <stp>##V3_BDHV12</stp>
        <stp>AMZN US Equity</stp>
        <stp>IS_INC_BEF_XO_ITEM</stp>
        <stp>FQ3 2006</stp>
        <stp>FQ3 2006</stp>
        <stp>[FA1_j2ahgkxc.xlsx]Income - Adjusted!R22C33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2"/>
      </tp>
      <tp>
        <v>9.0299999999999994</v>
        <stp/>
        <stp>##V3_BDHV12</stp>
        <stp>AMZN US Equity</stp>
        <stp>PX_LOW</stp>
        <stp>FQ1 2002</stp>
        <stp>FQ1 2002</stp>
        <stp>[FA1_j2ahgkxc.xlsx]Stock Value!R10C15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0" s="6"/>
      </tp>
      <tp>
        <v>-0.77769999999999995</v>
        <stp/>
        <stp>##V3_BDHV12</stp>
        <stp>AMZN US Equity</stp>
        <stp>TANG_BOOK_VAL_PER_SH</stp>
        <stp>FQ4 1999</stp>
        <stp>FQ4 1999</stp>
        <stp>[FA1_j2ahgkxc.xlsx]Per Share!R27C7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7" s="5"/>
      </tp>
      <tp>
        <v>0</v>
        <stp/>
        <stp>##V3_BDHV12</stp>
        <stp>AMZN US Equity</stp>
        <stp>OTHER_NONCUR_LIABS_SUB_DETAILED</stp>
        <stp>FQ1 2006</stp>
        <stp>FQ1 2006</stp>
        <stp>[FA1_j2ahgkxc.xlsx]Bal Sheet - Standardized!R43C31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3" s="3"/>
      </tp>
      <tp>
        <v>0</v>
        <stp/>
        <stp>##V3_BDHV12</stp>
        <stp>AMZN US Equity</stp>
        <stp>OTHER_NONCUR_LIABS_SUB_DETAILED</stp>
        <stp>FQ3 2002</stp>
        <stp>FQ3 2002</stp>
        <stp>[FA1_j2ahgkxc.xlsx]Bal Sheet - Standardized!R43C17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3" s="3"/>
      </tp>
      <tp>
        <v>0</v>
        <stp/>
        <stp>##V3_BDHV12</stp>
        <stp>AMZN US Equity</stp>
        <stp>MINORITY_NONCONTROLLING_INTEREST</stp>
        <stp>FQ3 1999</stp>
        <stp>FQ3 1999</stp>
        <stp>[FA1_j2ahgkxc.xlsx]Bal Sheet - Standardized!R53C6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3" s="3"/>
      </tp>
      <tp>
        <v>0</v>
        <stp/>
        <stp>##V3_BDHV12</stp>
        <stp>AMZN US Equity</stp>
        <stp>MINORITY_NONCONTROLLING_INTEREST</stp>
        <stp>FQ1 1999</stp>
        <stp>FQ1 1999</stp>
        <stp>[FA1_j2ahgkxc.xlsx]Bal Sheet - Standardized!R53C4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3" s="3"/>
      </tp>
      <tp>
        <v>0</v>
        <stp/>
        <stp>##V3_BDHV12</stp>
        <stp>AMZN US Equity</stp>
        <stp>MINORITY_NONCONTROLLING_INTEREST</stp>
        <stp>FQ4 1998</stp>
        <stp>FQ4 1998</stp>
        <stp>[FA1_j2ahgkxc.xlsx]Bal Sheet - Standardized!R53C3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3" s="3"/>
      </tp>
      <tp>
        <v>0</v>
        <stp/>
        <stp>##V3_BDHV12</stp>
        <stp>AMZN US Equity</stp>
        <stp>MINORITY_NONCONTROLLING_INTEREST</stp>
        <stp>FQ2 1999</stp>
        <stp>FQ2 1999</stp>
        <stp>[FA1_j2ahgkxc.xlsx]Bal Sheet - Standardized!R53C5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3" s="3"/>
      </tp>
      <tp>
        <v>0</v>
        <stp/>
        <stp>##V3_BDHV12</stp>
        <stp>AMZN US Equity</stp>
        <stp>MINORITY_NONCONTROLLING_INTEREST</stp>
        <stp>FQ4 1999</stp>
        <stp>FQ4 1999</stp>
        <stp>[FA1_j2ahgkxc.xlsx]Bal Sheet - Standardized!R53C7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3" s="3"/>
      </tp>
      <tp>
        <v>146</v>
        <stp/>
        <stp>##V3_BDHV12</stp>
        <stp>AMZN US Equity</stp>
        <stp>EBITDA</stp>
        <stp>FQ1 2006</stp>
        <stp>FQ1 2006</stp>
        <stp>[FA1_j2ahgkxc.xlsx]Income - Adjusted!R46C31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6" s="2"/>
      </tp>
      <tp>
        <v>128.11600000000001</v>
        <stp/>
        <stp>##V3_BDHV12</stp>
        <stp>AMZN US Equity</stp>
        <stp>EBITDA</stp>
        <stp>FQ1 2004</stp>
        <stp>FQ1 2004</stp>
        <stp>[FA1_j2ahgkxc.xlsx]Income - Adjusted!R46C23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6" s="2"/>
      </tp>
      <tp>
        <v>34.658000000000001</v>
        <stp/>
        <stp>##V3_BDHV12</stp>
        <stp>AMZN US Equity</stp>
        <stp>EBITDA</stp>
        <stp>FQ1 2002</stp>
        <stp>FQ1 2002</stp>
        <stp>[FA1_j2ahgkxc.xlsx]Income - Adjusted!R46C15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6" s="2"/>
      </tp>
      <tp>
        <v>-23.15</v>
        <stp/>
        <stp>##V3_BDHV12</stp>
        <stp>AMZN US Equity</stp>
        <stp>NET_INCOME</stp>
        <stp>FQ1 2002</stp>
        <stp>FQ1 2002</stp>
        <stp>[FA1_j2ahgkxc.xlsx]Income - Adjusted!R26C15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6" s="2"/>
      </tp>
      <tp>
        <v>111.136</v>
        <stp/>
        <stp>##V3_BDHV12</stp>
        <stp>AMZN US Equity</stp>
        <stp>NET_INCOME</stp>
        <stp>FQ1 2004</stp>
        <stp>FQ1 2004</stp>
        <stp>[FA1_j2ahgkxc.xlsx]Income - Adjusted!R26C23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6" s="2"/>
      </tp>
      <tp>
        <v>51</v>
        <stp/>
        <stp>##V3_BDHV12</stp>
        <stp>AMZN US Equity</stp>
        <stp>NET_INCOME</stp>
        <stp>FQ1 2006</stp>
        <stp>FQ1 2006</stp>
        <stp>[FA1_j2ahgkxc.xlsx]Income - Adjusted!R26C31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6" s="2"/>
      </tp>
      <tp>
        <v>2381</v>
        <stp/>
        <stp>##V3_BDHV12</stp>
        <stp>AMZN US Equity</stp>
        <stp>BS_SH_CAP_AND_APIC</stp>
        <stp>FQ3 2006</stp>
        <stp>FQ3 2006</stp>
        <stp>[FA1_j2ahgkxc.xlsx]Bal Sheet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3"/>
      </tp>
      <tp>
        <v>1484.6859999999999</v>
        <stp/>
        <stp>##V3_BDHV12</stp>
        <stp>AMZN US Equity</stp>
        <stp>BS_SH_CAP_AND_APIC</stp>
        <stp>FQ1 2002</stp>
        <stp>FQ1 2002</stp>
        <stp>[FA1_j2ahgkxc.xlsx]Bal Sheet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3"/>
      </tp>
      <tp t="s">
        <v>—</v>
        <stp/>
        <stp>##V3_BDHV12</stp>
        <stp>AMZN US Equity</stp>
        <stp>BS_GROSS_FIX_ASSET</stp>
        <stp>FQ1 2003</stp>
        <stp>FQ1 2003</stp>
        <stp>[FA1_j2ahgkxc.xlsx]Bal Sheet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3"/>
      </tp>
      <tp>
        <v>1794.8019999999999</v>
        <stp/>
        <stp>##V3_BDHV12</stp>
        <stp>AMZN US Equity</stp>
        <stp>BS_SH_CAP_AND_APIC</stp>
        <stp>FQ2 2003</stp>
        <stp>FQ2 2003</stp>
        <stp>[FA1_j2ahgkxc.xlsx]Bal Sheet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3"/>
      </tp>
      <tp>
        <v>1347.671</v>
        <stp/>
        <stp>##V3_BDHV12</stp>
        <stp>AMZN US Equity</stp>
        <stp>BS_SH_CAP_AND_APIC</stp>
        <stp>FQ1 2001</stp>
        <stp>FQ1 2001</stp>
        <stp>[FA1_j2ahgkxc.xlsx]Bal Sheet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3"/>
      </tp>
      <tp>
        <v>1409</v>
        <stp/>
        <stp>##V3_BDHV12</stp>
        <stp>AMZN US Equity</stp>
        <stp>BS_GROSS_FIX_ASSET</stp>
        <stp>FQ4 2008</stp>
        <stp>FQ4 2008</stp>
        <stp>[FA1_j2ahgkxc.xlsx]Bal Sheet - Standardized!R20C42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3"/>
      </tp>
      <tp>
        <v>1968.4091000000001</v>
        <stp/>
        <stp>##V3_BDHV12</stp>
        <stp>AMZN US Equity</stp>
        <stp>BS_SH_CAP_AND_APIC</stp>
        <stp>FQ2 2004</stp>
        <stp>FQ2 2004</stp>
        <stp>[FA1_j2ahgkxc.xlsx]Bal Sheet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3"/>
      </tp>
      <tp t="s">
        <v>—</v>
        <stp/>
        <stp>##V3_BDHV12</stp>
        <stp>AMZN US Equity</stp>
        <stp>BS_GROSS_FIX_ASSET</stp>
        <stp>FQ2 2005</stp>
        <stp>FQ2 2005</stp>
        <stp>[FA1_j2ahgkxc.xlsx]Bal Sheet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3"/>
      </tp>
      <tp>
        <v>2831</v>
        <stp/>
        <stp>##V3_BDHV12</stp>
        <stp>AMZN US Equity</stp>
        <stp>BS_SH_CAP_AND_APIC</stp>
        <stp>FQ3 2007</stp>
        <stp>FQ3 2007</stp>
        <stp>[FA1_j2ahgkxc.xlsx]Bal Sheet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3"/>
      </tp>
      <tp>
        <v>-10.121</v>
        <stp/>
        <stp>##V3_BDHV12</stp>
        <stp>AMZN US Equity</stp>
        <stp>PRETAX_INC</stp>
        <stp>FQ1 2003</stp>
        <stp>FQ1 2003</stp>
        <stp>[FA1_j2ahgkxc.xlsx]Income - Adjusted!R20C19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0" s="2"/>
      </tp>
      <tp>
        <v>304</v>
        <stp/>
        <stp>##V3_BDHV12</stp>
        <stp>AMZN US Equity</stp>
        <stp>PRETAX_INC</stp>
        <stp>FQ4 2008</stp>
        <stp>FQ4 2008</stp>
        <stp>[FA1_j2ahgkxc.xlsx]Income - Adjusted!R20C42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0" s="2"/>
      </tp>
      <tp>
        <v>2.6509999999999998</v>
        <stp/>
        <stp>##V3_BDHV12</stp>
        <stp>AMZN US Equity</stp>
        <stp>PRETAX_INC</stp>
        <stp>FQ4 2002</stp>
        <stp>FQ4 2002</stp>
        <stp>[FA1_j2ahgkxc.xlsx]Income - Adjusted!R20C18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0" s="2"/>
      </tp>
      <tp>
        <v>425.17099999999999</v>
        <stp/>
        <stp>##V3_BDHV12</stp>
        <stp>AMZN US Equity</stp>
        <stp>BS_GROSS_FIX_ASSET</stp>
        <stp>FQ1 2001</stp>
        <stp>FQ1 2001</stp>
        <stp>[FA1_j2ahgkxc.xlsx]Bal Sheet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3"/>
      </tp>
      <tp t="s">
        <v>—</v>
        <stp/>
        <stp>##V3_BDHV12</stp>
        <stp>AMZN US Equity</stp>
        <stp>BS_GROSS_FIX_ASSET</stp>
        <stp>FQ2 2003</stp>
        <stp>FQ2 2003</stp>
        <stp>[FA1_j2ahgkxc.xlsx]Bal Sheet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3"/>
      </tp>
      <tp t="s">
        <v>—</v>
        <stp/>
        <stp>##V3_BDHV12</stp>
        <stp>AMZN US Equity</stp>
        <stp>BS_GROSS_FIX_ASSET</stp>
        <stp>FQ2 2004</stp>
        <stp>FQ2 2004</stp>
        <stp>[FA1_j2ahgkxc.xlsx]Bal Sheet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3"/>
      </tp>
      <tp>
        <v>4125</v>
        <stp/>
        <stp>##V3_BDHV12</stp>
        <stp>AMZN US Equity</stp>
        <stp>BS_SH_CAP_AND_APIC</stp>
        <stp>FQ4 2008</stp>
        <stp>FQ4 2008</stp>
        <stp>[FA1_j2ahgkxc.xlsx]Bal Sheet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3"/>
      </tp>
      <tp t="s">
        <v>—</v>
        <stp/>
        <stp>##V3_BDHV12</stp>
        <stp>AMZN US Equity</stp>
        <stp>BS_GROSS_FIX_ASSET</stp>
        <stp>FQ3 2007</stp>
        <stp>FQ3 2007</stp>
        <stp>[FA1_j2ahgkxc.xlsx]Bal Sheet - Standardized!R20C37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3"/>
      </tp>
      <tp>
        <v>2165</v>
        <stp/>
        <stp>##V3_BDHV12</stp>
        <stp>AMZN US Equity</stp>
        <stp>BS_SH_CAP_AND_APIC</stp>
        <stp>FQ2 2005</stp>
        <stp>FQ2 2005</stp>
        <stp>[FA1_j2ahgkxc.xlsx]Bal Sheet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3"/>
      </tp>
      <tp t="s">
        <v>—</v>
        <stp/>
        <stp>##V3_BDHV12</stp>
        <stp>AMZN US Equity</stp>
        <stp>BS_GROSS_FIX_ASSET</stp>
        <stp>FQ3 2006</stp>
        <stp>FQ3 2006</stp>
        <stp>[FA1_j2ahgkxc.xlsx]Bal Sheet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3"/>
      </tp>
      <tp t="s">
        <v>—</v>
        <stp/>
        <stp>##V3_BDHV12</stp>
        <stp>AMZN US Equity</stp>
        <stp>BS_GROSS_FIX_ASSET</stp>
        <stp>FQ1 2002</stp>
        <stp>FQ1 2002</stp>
        <stp>[FA1_j2ahgkxc.xlsx]Bal Sheet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3"/>
      </tp>
      <tp>
        <v>1718.5319999999999</v>
        <stp/>
        <stp>##V3_BDHV12</stp>
        <stp>AMZN US Equity</stp>
        <stp>BS_SH_CAP_AND_APIC</stp>
        <stp>FQ1 2003</stp>
        <stp>FQ1 2003</stp>
        <stp>[FA1_j2ahgkxc.xlsx]Bal Sheet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3"/>
      </tp>
      <tp>
        <v>-1.0089999999999999</v>
        <stp/>
        <stp>##V3_BDHV12</stp>
        <stp>AMZN US Equity</stp>
        <stp>FREE_CASH_FLOW_PER_SH</stp>
        <stp>FQ1 2000</stp>
        <stp>FQ1 2000</stp>
        <stp>[FA1_j2ahgkxc.xlsx]Per Share!R23C8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3" s="5"/>
      </tp>
      <tp>
        <v>502</v>
        <stp/>
        <stp>##V3_BDHV12</stp>
        <stp>AMZN US Equity</stp>
        <stp>IS_OPERATING_EXPN</stp>
        <stp>FQ4 2005</stp>
        <stp>FQ4 2005</stp>
        <stp>[FA1_j2ahgkxc.xlsx]Income - Adjusted!R9C30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>
        <v>232.10499999999999</v>
        <stp/>
        <stp>##V3_BDHV12</stp>
        <stp>AMZN US Equity</stp>
        <stp>IS_OPERATING_EXPN</stp>
        <stp>FQ2 2003</stp>
        <stp>FQ2 2003</stp>
        <stp>[FA1_j2ahgkxc.xlsx]Income - Adjusted!R9C20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>
        <v>233.89</v>
        <stp/>
        <stp>##V3_BDHV12</stp>
        <stp>AMZN US Equity</stp>
        <stp>IS_OPERATING_EXPN</stp>
        <stp>FQ3 2003</stp>
        <stp>FQ3 2003</stp>
        <stp>[FA1_j2ahgkxc.xlsx]Income - Adjusted!R9C21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>
        <v>252.27600000000001</v>
        <stp/>
        <stp>##V3_BDHV12</stp>
        <stp>AMZN US Equity</stp>
        <stp>IS_OPERATING_EXPN</stp>
        <stp>FQ4 2001</stp>
        <stp>FQ4 2001</stp>
        <stp>[FA1_j2ahgkxc.xlsx]Income - Adjusted!R9C14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>
        <v>284.94499999999999</v>
        <stp/>
        <stp>##V3_BDHV12</stp>
        <stp>AMZN US Equity</stp>
        <stp>IS_OPERATING_EXPN</stp>
        <stp>FQ1 2001</stp>
        <stp>FQ1 2001</stp>
        <stp>[FA1_j2ahgkxc.xlsx]Income - Adjusted!R9C11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>
        <v>228.53200000000001</v>
        <stp/>
        <stp>##V3_BDHV12</stp>
        <stp>AMZN US Equity</stp>
        <stp>IS_OPERATING_EXPN</stp>
        <stp>FQ3 2001</stp>
        <stp>FQ3 2001</stp>
        <stp>[FA1_j2ahgkxc.xlsx]Income - Adjusted!R9C13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>
        <v>260.91000000000003</v>
        <stp/>
        <stp>##V3_BDHV12</stp>
        <stp>AMZN US Equity</stp>
        <stp>IS_OPERATING_EXPN</stp>
        <stp>FQ2 2001</stp>
        <stp>FQ2 2001</stp>
        <stp>[FA1_j2ahgkxc.xlsx]Income - Adjusted!R9C12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>
        <v>-3.2720000000000002</v>
        <stp/>
        <stp>##V3_BDHV12</stp>
        <stp>AMZN US Equity</stp>
        <stp>CF_ACCT_RCV_UNBILLED_REV</stp>
        <stp>FQ2 2004</stp>
        <stp>FQ2 2004</stp>
        <stp>[FA1_j2ahgkxc.xlsx]Cash Flow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4"/>
      </tp>
      <tp>
        <v>-73</v>
        <stp/>
        <stp>##V3_BDHV12</stp>
        <stp>AMZN US Equity</stp>
        <stp>CF_ACCT_RCV_UNBILLED_REV</stp>
        <stp>FQ3 2007</stp>
        <stp>FQ3 2007</stp>
        <stp>[FA1_j2ahgkxc.xlsx]Cash Flow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4"/>
      </tp>
      <tp>
        <v>0</v>
        <stp/>
        <stp>##V3_BDHV12</stp>
        <stp>AMZN US Equity</stp>
        <stp>MINORITY_NONCONTROLLING_INTEREST</stp>
        <stp>FQ3 2002</stp>
        <stp>FQ3 2002</stp>
        <stp>[FA1_j2ahgkxc.xlsx]Bal Sheet - Standardized!R53C17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3" s="3"/>
      </tp>
      <tp>
        <v>0</v>
        <stp/>
        <stp>##V3_BDHV12</stp>
        <stp>AMZN US Equity</stp>
        <stp>MINORITY_NONCONTROLLING_INTEREST</stp>
        <stp>FQ1 2006</stp>
        <stp>FQ1 2006</stp>
        <stp>[FA1_j2ahgkxc.xlsx]Bal Sheet - Standardized!R53C31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3" s="3"/>
      </tp>
      <tp>
        <v>5.9139999999999997</v>
        <stp/>
        <stp>##V3_BDHV12</stp>
        <stp>AMZN US Equity</stp>
        <stp>CF_ACCT_RCV_UNBILLED_REV</stp>
        <stp>FQ2 2003</stp>
        <stp>FQ2 2003</stp>
        <stp>[FA1_j2ahgkxc.xlsx]Cash Flow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4"/>
      </tp>
      <tp t="s">
        <v>—</v>
        <stp/>
        <stp>##V3_BDHV12</stp>
        <stp>AMZN US Equity</stp>
        <stp>CF_ACCT_RCV_UNBILLED_REV</stp>
        <stp>FQ1 2001</stp>
        <stp>FQ1 2001</stp>
        <stp>[FA1_j2ahgkxc.xlsx]Cash Flow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4"/>
      </tp>
      <tp t="s">
        <v>—</v>
        <stp/>
        <stp>##V3_BDHV12</stp>
        <stp>AMZN US Equity</stp>
        <stp>CF_ACCT_RCV_UNBILLED_REV</stp>
        <stp>FQ1 2002</stp>
        <stp>FQ1 2002</stp>
        <stp>[FA1_j2ahgkxc.xlsx]Cash Flow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4"/>
      </tp>
      <tp>
        <v>-53</v>
        <stp/>
        <stp>##V3_BDHV12</stp>
        <stp>AMZN US Equity</stp>
        <stp>CF_ACCT_RCV_UNBILLED_REV</stp>
        <stp>FQ3 2006</stp>
        <stp>FQ3 2006</stp>
        <stp>[FA1_j2ahgkxc.xlsx]Cash Flow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4"/>
      </tp>
      <tp>
        <v>0</v>
        <stp/>
        <stp>##V3_BDHV12</stp>
        <stp>AMZN US Equity</stp>
        <stp>MINORITY_NONCONTROLLING_INTEREST</stp>
        <stp>FQ1 2007</stp>
        <stp>FQ1 2007</stp>
        <stp>[FA1_j2ahgkxc.xlsx]Bal Sheet - Standardized!R53C35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3" s="3"/>
      </tp>
      <tp>
        <v>0</v>
        <stp/>
        <stp>##V3_BDHV12</stp>
        <stp>AMZN US Equity</stp>
        <stp>BS_ACCT_NOTE_RCV</stp>
        <stp>FQ3 2000</stp>
        <stp>FQ3 2000</stp>
        <stp>[FA1_j2ahgkxc.xlsx]Bal Sheet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0</v>
        <stp/>
        <stp>##V3_BDHV12</stp>
        <stp>AMZN US Equity</stp>
        <stp>BS_ACCT_NOTE_RCV</stp>
        <stp>FQ1 2000</stp>
        <stp>FQ1 2000</stp>
        <stp>[FA1_j2ahgkxc.xlsx]Bal Sheet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3"/>
      </tp>
      <tp>
        <v>0</v>
        <stp/>
        <stp>##V3_BDHV12</stp>
        <stp>AMZN US Equity</stp>
        <stp>MINORITY_NONCONTROLLING_INTEREST</stp>
        <stp>FQ3 2001</stp>
        <stp>FQ3 2001</stp>
        <stp>[FA1_j2ahgkxc.xlsx]Bal Sheet - Standardized!R53C13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3" s="3"/>
      </tp>
      <tp>
        <v>0</v>
        <stp/>
        <stp>##V3_BDHV12</stp>
        <stp>AMZN US Equity</stp>
        <stp>MINORITY_NONCONTROLLING_INTEREST</stp>
        <stp>FQ1 2008</stp>
        <stp>FQ1 2008</stp>
        <stp>[FA1_j2ahgkxc.xlsx]Bal Sheet - Standardized!R53C39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3" s="3"/>
      </tp>
      <tp>
        <v>27.233000000000001</v>
        <stp/>
        <stp>##V3_BDHV12</stp>
        <stp>AMZN US Equity</stp>
        <stp>CF_ACCT_RCV_UNBILLED_REV</stp>
        <stp>FQ1 2003</stp>
        <stp>FQ1 2003</stp>
        <stp>[FA1_j2ahgkxc.xlsx]Cash Flow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4"/>
      </tp>
      <tp>
        <v>-324</v>
        <stp/>
        <stp>##V3_BDHV12</stp>
        <stp>AMZN US Equity</stp>
        <stp>CF_ACCT_RCV_UNBILLED_REV</stp>
        <stp>FQ4 2008</stp>
        <stp>FQ4 2008</stp>
        <stp>[FA1_j2ahgkxc.xlsx]Cash Flow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4"/>
      </tp>
      <tp>
        <v>9</v>
        <stp/>
        <stp>##V3_BDHV12</stp>
        <stp>AMZN US Equity</stp>
        <stp>CF_ACCT_RCV_UNBILLED_REV</stp>
        <stp>FQ2 2005</stp>
        <stp>FQ2 2005</stp>
        <stp>[FA1_j2ahgkxc.xlsx]Cash Flow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4"/>
      </tp>
      <tp>
        <v>774.47199999999998</v>
        <stp/>
        <stp>##V3_BDHV12</stp>
        <stp>AMZN US Equity</stp>
        <stp>NET_DEBT</stp>
        <stp>FQ4 1999</stp>
        <stp>FQ4 1999</stp>
        <stp>[FA1_j2ahgkxc.xlsx]Bal Sheet - Standardized!R65C7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5" s="3"/>
      </tp>
      <tp>
        <v>98.082999999999998</v>
        <stp/>
        <stp>##V3_BDHV12</stp>
        <stp>AMZN US Equity</stp>
        <stp>NET_DEBT</stp>
        <stp>FQ1 1999</stp>
        <stp>FQ1 1999</stp>
        <stp>[FA1_j2ahgkxc.xlsx]Bal Sheet - Standardized!R65C4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5" s="3"/>
      </tp>
      <tp>
        <v>569.29399999999998</v>
        <stp/>
        <stp>##V3_BDHV12</stp>
        <stp>AMZN US Equity</stp>
        <stp>NET_DEBT</stp>
        <stp>FQ3 1999</stp>
        <stp>FQ3 1999</stp>
        <stp>[FA1_j2ahgkxc.xlsx]Bal Sheet - Standardized!R65C6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5" s="3"/>
      </tp>
      <tp>
        <v>1387.3408999999999</v>
        <stp/>
        <stp>##V3_BDHV12</stp>
        <stp>AMZN US Equity</stp>
        <stp>SALES_REV_TURN</stp>
        <stp>FQ2 2004</stp>
        <stp>FQ2 2004</stp>
        <stp>[FA1_j2ahgkxc.xlsx]Income - Adjusted!R6C24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1462.4749999999999</v>
        <stp/>
        <stp>##V3_BDHV12</stp>
        <stp>AMZN US Equity</stp>
        <stp>SALES_REV_TURN</stp>
        <stp>FQ3 2004</stp>
        <stp>FQ3 2004</stp>
        <stp>[FA1_j2ahgkxc.xlsx]Income - Adjusted!R6C25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-24.620999999999999</v>
        <stp/>
        <stp>##V3_BDHV12</stp>
        <stp>AMZN US Equity</stp>
        <stp>NET_DEBT</stp>
        <stp>FQ4 1998</stp>
        <stp>FQ4 1998</stp>
        <stp>[FA1_j2ahgkxc.xlsx]Bal Sheet - Standardized!R65C3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5" s="3"/>
      </tp>
      <tp>
        <v>314.86</v>
        <stp/>
        <stp>##V3_BDHV12</stp>
        <stp>AMZN US Equity</stp>
        <stp>NET_DEBT</stp>
        <stp>FQ2 1999</stp>
        <stp>FQ2 1999</stp>
        <stp>[FA1_j2ahgkxc.xlsx]Bal Sheet - Standardized!R65C5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5" s="3"/>
      </tp>
      <tp>
        <v>80</v>
        <stp/>
        <stp>##V3_BDHV12</stp>
        <stp>AMZN US Equity</stp>
        <stp>IS_INC_BEF_XO_ITEM</stp>
        <stp>FQ3 2007</stp>
        <stp>FQ3 2007</stp>
        <stp>[FA1_j2ahgkxc.xlsx]Income - Adjusted!R22C37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2"/>
      </tp>
      <tp>
        <v>0</v>
        <stp/>
        <stp>##V3_BDHV12</stp>
        <stp>AMZN US Equity</stp>
        <stp>OTHER_NONCUR_LIABS_SUB_DETAILED</stp>
        <stp>FQ2 2001</stp>
        <stp>FQ2 2001</stp>
        <stp>[FA1_j2ahgkxc.xlsx]Bal Sheet - Standardized!R43C12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3" s="3"/>
      </tp>
      <tp>
        <v>0</v>
        <stp/>
        <stp>##V3_BDHV12</stp>
        <stp>AMZN US Equity</stp>
        <stp>OTHER_NONCUR_LIABS_SUB_DETAILED</stp>
        <stp>FQ1 2005</stp>
        <stp>FQ1 2005</stp>
        <stp>[FA1_j2ahgkxc.xlsx]Bal Sheet - Standardized!R43C27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3" s="3"/>
      </tp>
      <tp>
        <v>22</v>
        <stp/>
        <stp>##V3_BDHV12</stp>
        <stp>AMZN US Equity</stp>
        <stp>IS_INC_BEF_XO_ITEM</stp>
        <stp>FQ2 2006</stp>
        <stp>FQ2 2006</stp>
        <stp>[FA1_j2ahgkxc.xlsx]Income - Adjusted!R22C32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2"/>
      </tp>
      <tp>
        <v>0</v>
        <stp/>
        <stp>##V3_BDHV12</stp>
        <stp>AMZN US Equity</stp>
        <stp>OTHER_NONCUR_LIABS_SUB_DETAILED</stp>
        <stp>FQ1 2004</stp>
        <stp>FQ1 2004</stp>
        <stp>[FA1_j2ahgkxc.xlsx]Bal Sheet - Standardized!R43C23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3" s="3"/>
      </tp>
      <tp>
        <v>0</v>
        <stp/>
        <stp>##V3_BDHV12</stp>
        <stp>AMZN US Equity</stp>
        <stp>OTHER_NONCUR_LIABS_SUB_DETAILED</stp>
        <stp>FQ2 2002</stp>
        <stp>FQ2 2002</stp>
        <stp>[FA1_j2ahgkxc.xlsx]Bal Sheet - Standardized!R43C16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3" s="3"/>
      </tp>
      <tp>
        <v>111.136</v>
        <stp/>
        <stp>##V3_BDHV12</stp>
        <stp>AMZN US Equity</stp>
        <stp>IS_INC_BEF_XO_ITEM</stp>
        <stp>FQ1 2004</stp>
        <stp>FQ1 2004</stp>
        <stp>[FA1_j2ahgkxc.xlsx]Income - Adjusted!R22C23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2"/>
      </tp>
      <tp t="s">
        <v>—</v>
        <stp/>
        <stp>##V3_BDHV12</stp>
        <stp>AMZN US Equity</stp>
        <stp>BS_OPTIONS_OUTSTANDING</stp>
        <stp>FQ4 1998</stp>
        <stp>FQ4 1998</stp>
        <stp>[FA1_j2ahgkxc.xlsx]Bal Sheet - Standardized!R64C3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4" s="3"/>
      </tp>
      <tp>
        <v>2.6509999999999998</v>
        <stp/>
        <stp>##V3_BDHV12</stp>
        <stp>AMZN US Equity</stp>
        <stp>IS_INC_BEF_XO_ITEM</stp>
        <stp>FQ4 2002</stp>
        <stp>FQ4 2002</stp>
        <stp>[FA1_j2ahgkxc.xlsx]Income - Adjusted!R22C18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2"/>
      </tp>
      <tp t="s">
        <v>—</v>
        <stp/>
        <stp>##V3_BDHV12</stp>
        <stp>AMZN US Equity</stp>
        <stp>BS_OPTIONS_OUTSTANDING</stp>
        <stp>FQ2 1999</stp>
        <stp>FQ2 1999</stp>
        <stp>[FA1_j2ahgkxc.xlsx]Bal Sheet - Standardized!R64C5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4" s="3"/>
      </tp>
      <tp>
        <v>-0.9</v>
        <stp/>
        <stp>##V3_BDHV12</stp>
        <stp>AMZN US Equity</stp>
        <stp>IS_DIL_EPS_BEF_XO</stp>
        <stp>FQ1 2000</stp>
        <stp>FQ1 2000</stp>
        <stp>[FA1_j2ahgkxc.xlsx]Income - Adjusted!R41C8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1" s="2"/>
      </tp>
      <tp>
        <v>2338</v>
        <stp/>
        <stp>##V3_BDHV12</stp>
        <stp>AMZN US Equity</stp>
        <stp>BS_SH_CAP_AND_APIC</stp>
        <stp>FQ2 2006</stp>
        <stp>FQ2 2006</stp>
        <stp>[FA1_j2ahgkxc.xlsx]Bal Sheet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3"/>
      </tp>
      <tp>
        <v>1856.3119999999999</v>
        <stp/>
        <stp>##V3_BDHV12</stp>
        <stp>AMZN US Equity</stp>
        <stp>BS_SH_CAP_AND_APIC</stp>
        <stp>FQ3 2003</stp>
        <stp>FQ3 2003</stp>
        <stp>[FA1_j2ahgkxc.xlsx]Bal Sheet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3"/>
      </tp>
      <tp>
        <v>1985.7339999999999</v>
        <stp/>
        <stp>##V3_BDHV12</stp>
        <stp>AMZN US Equity</stp>
        <stp>BS_SH_CAP_AND_APIC</stp>
        <stp>FQ3 2004</stp>
        <stp>FQ3 2004</stp>
        <stp>[FA1_j2ahgkxc.xlsx]Bal Sheet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3"/>
      </tp>
      <tp t="s">
        <v>—</v>
        <stp/>
        <stp>##V3_BDHV12</stp>
        <stp>AMZN US Equity</stp>
        <stp>BS_GROSS_FIX_ASSET</stp>
        <stp>FQ3 2005</stp>
        <stp>FQ3 2005</stp>
        <stp>[FA1_j2ahgkxc.xlsx]Bal Sheet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3"/>
      </tp>
      <tp>
        <v>2708</v>
        <stp/>
        <stp>##V3_BDHV12</stp>
        <stp>AMZN US Equity</stp>
        <stp>BS_SH_CAP_AND_APIC</stp>
        <stp>FQ2 2007</stp>
        <stp>FQ2 2007</stp>
        <stp>[FA1_j2ahgkxc.xlsx]Bal Sheet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3"/>
      </tp>
      <tp t="s">
        <v>—</v>
        <stp/>
        <stp>##V3_BDHV12</stp>
        <stp>AMZN US Equity</stp>
        <stp>BS_GROSS_FIX_ASSET</stp>
        <stp>FQ3 2003</stp>
        <stp>FQ3 2003</stp>
        <stp>[FA1_j2ahgkxc.xlsx]Bal Sheet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3"/>
      </tp>
      <tp t="s">
        <v>—</v>
        <stp/>
        <stp>##V3_BDHV12</stp>
        <stp>AMZN US Equity</stp>
        <stp>BS_GROSS_FIX_ASSET</stp>
        <stp>FQ3 2004</stp>
        <stp>FQ3 2004</stp>
        <stp>[FA1_j2ahgkxc.xlsx]Bal Sheet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3"/>
      </tp>
      <tp t="s">
        <v>—</v>
        <stp/>
        <stp>##V3_BDHV12</stp>
        <stp>AMZN US Equity</stp>
        <stp>BS_GROSS_FIX_ASSET</stp>
        <stp>FQ2 2007</stp>
        <stp>FQ2 2007</stp>
        <stp>[FA1_j2ahgkxc.xlsx]Bal Sheet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3"/>
      </tp>
      <tp>
        <v>2219</v>
        <stp/>
        <stp>##V3_BDHV12</stp>
        <stp>AMZN US Equity</stp>
        <stp>BS_SH_CAP_AND_APIC</stp>
        <stp>FQ3 2005</stp>
        <stp>FQ3 2005</stp>
        <stp>[FA1_j2ahgkxc.xlsx]Bal Sheet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3"/>
      </tp>
      <tp t="s">
        <v>—</v>
        <stp/>
        <stp>##V3_BDHV12</stp>
        <stp>AMZN US Equity</stp>
        <stp>BS_GROSS_FIX_ASSET</stp>
        <stp>FQ2 2006</stp>
        <stp>FQ2 2006</stp>
        <stp>[FA1_j2ahgkxc.xlsx]Bal Sheet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3"/>
      </tp>
      <tp>
        <v>758</v>
        <stp/>
        <stp>##V3_BDHV12</stp>
        <stp>AMZN US Equity</stp>
        <stp>IS_OPERATING_EXPN</stp>
        <stp>FQ1 2008</stp>
        <stp>FQ1 2008</stp>
        <stp>[FA1_j2ahgkxc.xlsx]Income - Adjusted!R9C39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9" s="2"/>
      </tp>
      <tp>
        <v>0</v>
        <stp/>
        <stp>##V3_BDHV12</stp>
        <stp>AMZN US Equity</stp>
        <stp>BS_AMT_OF_TSY_STOCK</stp>
        <stp>FQ2 1999</stp>
        <stp>FQ2 1999</stp>
        <stp>[FA1_j2ahgkxc.xlsx]Bal Sheet - Standardized!R49C5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9" s="3"/>
      </tp>
      <tp>
        <v>0</v>
        <stp/>
        <stp>##V3_BDHV12</stp>
        <stp>AMZN US Equity</stp>
        <stp>BS_AMT_OF_TSY_STOCK</stp>
        <stp>FQ4 1998</stp>
        <stp>FQ4 1998</stp>
        <stp>[FA1_j2ahgkxc.xlsx]Bal Sheet - Standardized!R49C3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9" s="3"/>
      </tp>
      <tp>
        <v>0</v>
        <stp/>
        <stp>##V3_BDHV12</stp>
        <stp>AMZN US Equity</stp>
        <stp>BS_AMT_OF_TSY_STOCK</stp>
        <stp>FQ3 1999</stp>
        <stp>FQ3 1999</stp>
        <stp>[FA1_j2ahgkxc.xlsx]Bal Sheet - Standardized!R49C6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9" s="3"/>
      </tp>
      <tp>
        <v>0</v>
        <stp/>
        <stp>##V3_BDHV12</stp>
        <stp>AMZN US Equity</stp>
        <stp>BS_AMT_OF_TSY_STOCK</stp>
        <stp>FQ1 1999</stp>
        <stp>FQ1 1999</stp>
        <stp>[FA1_j2ahgkxc.xlsx]Bal Sheet - Standardized!R49C4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9" s="3"/>
      </tp>
      <tp>
        <v>0</v>
        <stp/>
        <stp>##V3_BDHV12</stp>
        <stp>AMZN US Equity</stp>
        <stp>BS_AMT_OF_TSY_STOCK</stp>
        <stp>FQ4 1999</stp>
        <stp>FQ4 1999</stp>
        <stp>[FA1_j2ahgkxc.xlsx]Bal Sheet - Standardized!R49C7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9" s="3"/>
      </tp>
      <tp>
        <v>33.808999999999997</v>
        <stp/>
        <stp>##V3_BDHV12</stp>
        <stp>AMZN US Equity</stp>
        <stp>IS_INT_EXPENSE</stp>
        <stp>FQ3 2000</stp>
        <stp>FQ3 2000</stp>
        <stp>[FA1_j2ahgkxc.xlsx]Income - Adjusted!R14C9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>
        <v>-91</v>
        <stp/>
        <stp>##V3_BDHV12</stp>
        <stp>AMZN US Equity</stp>
        <stp>CF_ACCT_RCV_UNBILLED_REV</stp>
        <stp>FQ4 2005</stp>
        <stp>FQ4 2005</stp>
        <stp>[FA1_j2ahgkxc.xlsx]Cash Flow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4"/>
      </tp>
      <tp>
        <v>0</v>
        <stp/>
        <stp>##V3_BDHV12</stp>
        <stp>AMZN US Equity</stp>
        <stp>MINORITY_NONCONTROLLING_INTEREST</stp>
        <stp>FQ4 2000</stp>
        <stp>FQ4 2000</stp>
        <stp>[FA1_j2ahgkxc.xlsx]Bal Sheet - Standardized!R53C10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3" s="3"/>
      </tp>
      <tp>
        <v>-116</v>
        <stp/>
        <stp>##V3_BDHV12</stp>
        <stp>AMZN US Equity</stp>
        <stp>CF_ACCT_RCV_UNBILLED_REV</stp>
        <stp>FQ4 2006</stp>
        <stp>FQ4 2006</stp>
        <stp>[FA1_j2ahgkxc.xlsx]Cash Flow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4"/>
      </tp>
      <tp>
        <v>0</v>
        <stp/>
        <stp>##V3_BDHV12</stp>
        <stp>AMZN US Equity</stp>
        <stp>MINORITY_NONCONTROLLING_INTEREST</stp>
        <stp>FQ4 2001</stp>
        <stp>FQ4 2001</stp>
        <stp>[FA1_j2ahgkxc.xlsx]Bal Sheet - Standardized!R53C14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3" s="3"/>
      </tp>
      <tp>
        <v>-9</v>
        <stp/>
        <stp>##V3_BDHV12</stp>
        <stp>AMZN US Equity</stp>
        <stp>CF_ACCT_RCV_UNBILLED_REV</stp>
        <stp>FQ3 2008</stp>
        <stp>FQ3 2008</stp>
        <stp>[FA1_j2ahgkxc.xlsx]Cash Flow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4"/>
      </tp>
      <tp>
        <v>-237</v>
        <stp/>
        <stp>##V3_BDHV12</stp>
        <stp>AMZN US Equity</stp>
        <stp>CF_ACCT_RCV_UNBILLED_REV</stp>
        <stp>FQ4 2007</stp>
        <stp>FQ4 2007</stp>
        <stp>[FA1_j2ahgkxc.xlsx]Cash Flow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4"/>
      </tp>
      <tp>
        <v>0</v>
        <stp/>
        <stp>##V3_BDHV12</stp>
        <stp>AMZN US Equity</stp>
        <stp>MINORITY_NONCONTROLLING_INTEREST</stp>
        <stp>FQ4 2002</stp>
        <stp>FQ4 2002</stp>
        <stp>[FA1_j2ahgkxc.xlsx]Bal Sheet - Standardized!R53C18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3" s="3"/>
      </tp>
      <tp>
        <v>-10.66</v>
        <stp/>
        <stp>##V3_BDHV12</stp>
        <stp>AMZN US Equity</stp>
        <stp>EBITDA</stp>
        <stp>FQ4 1998</stp>
        <stp>FQ4 1998</stp>
        <stp>[FA1_j2ahgkxc.xlsx]Income - Adjusted!R46C3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6" s="2"/>
      </tp>
      <tp>
        <v>1945.7719999999999</v>
        <stp/>
        <stp>##V3_BDHV12</stp>
        <stp>AMZN US Equity</stp>
        <stp>SALES_REV_TURN</stp>
        <stp>FQ4 2003</stp>
        <stp>FQ4 2003</stp>
        <stp>[FA1_j2ahgkxc.xlsx]Income - Adjusted!R6C22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39.15</v>
        <stp/>
        <stp>##V3_BDHV12</stp>
        <stp>AMZN US Equity</stp>
        <stp>PX_LOW</stp>
        <stp>FQ1 2004</stp>
        <stp>FQ1 2004</stp>
        <stp>[FA1_j2ahgkxc.xlsx]Stock Value!R10C23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0" s="6"/>
      </tp>
      <tp>
        <v>24.13</v>
        <stp/>
        <stp>##V3_BDHV12</stp>
        <stp>AMZN US Equity</stp>
        <stp>PX_LOW</stp>
        <stp>FQ2 2003</stp>
        <stp>FQ2 2003</stp>
        <stp>[FA1_j2ahgkxc.xlsx]Stock Value!R10C20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0" s="6"/>
      </tp>
      <tp>
        <v>33</v>
        <stp/>
        <stp>##V3_BDHV12</stp>
        <stp>AMZN US Equity</stp>
        <stp>PX_LOW</stp>
        <stp>FQ4 2004</stp>
        <stp>FQ4 2004</stp>
        <stp>[FA1_j2ahgkxc.xlsx]Stock Value!R10C26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0" s="6"/>
      </tp>
      <tp>
        <v>34</v>
        <stp/>
        <stp>##V3_BDHV12</stp>
        <stp>AMZN US Equity</stp>
        <stp>PX_LOW</stp>
        <stp>FQ3 2003</stp>
        <stp>FQ3 2003</stp>
        <stp>[FA1_j2ahgkxc.xlsx]Stock Value!R10C21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0" s="6"/>
      </tp>
      <tp>
        <v>-35.08</v>
        <stp/>
        <stp>##V3_BDHV12</stp>
        <stp>AMZN US Equity</stp>
        <stp>IS_INC_BEF_XO_ITEM</stp>
        <stp>FQ3 2002</stp>
        <stp>FQ3 2002</stp>
        <stp>[FA1_j2ahgkxc.xlsx]Income - Adjusted!R22C17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2"/>
      </tp>
      <tp>
        <v>-0.33979999999999999</v>
        <stp/>
        <stp>##V3_BDHV12</stp>
        <stp>AMZN US Equity</stp>
        <stp>TANG_BOOK_VAL_PER_SH</stp>
        <stp>FQ1 1999</stp>
        <stp>FQ1 1999</stp>
        <stp>[FA1_j2ahgkxc.xlsx]Per Share!R27C4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7" s="5"/>
      </tp>
      <tp>
        <v>-0.83930000000000005</v>
        <stp/>
        <stp>##V3_BDHV12</stp>
        <stp>AMZN US Equity</stp>
        <stp>TANG_BOOK_VAL_PER_SH</stp>
        <stp>FQ3 1999</stp>
        <stp>FQ3 1999</stp>
        <stp>[FA1_j2ahgkxc.xlsx]Per Share!R27C6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7" s="5"/>
      </tp>
      <tp>
        <v>61.32</v>
        <stp/>
        <stp>##V3_BDHV12</stp>
        <stp>AMZN US Equity</stp>
        <stp>PX_LOW</stp>
        <stp>FQ3 2008</stp>
        <stp>FQ3 2008</stp>
        <stp>[FA1_j2ahgkxc.xlsx]Stock Value!R10C41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0" s="6"/>
      </tp>
      <tp>
        <v>70.650000000000006</v>
        <stp/>
        <stp>##V3_BDHV12</stp>
        <stp>AMZN US Equity</stp>
        <stp>PX_LOW</stp>
        <stp>FQ2 2008</stp>
        <stp>FQ2 2008</stp>
        <stp>[FA1_j2ahgkxc.xlsx]Stock Value!R10C40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0" s="6"/>
      </tp>
      <tp>
        <v>207</v>
        <stp/>
        <stp>##V3_BDHV12</stp>
        <stp>AMZN US Equity</stp>
        <stp>IS_INC_BEF_XO_ITEM</stp>
        <stp>FQ4 2007</stp>
        <stp>FQ4 2007</stp>
        <stp>[FA1_j2ahgkxc.xlsx]Income - Adjusted!R22C38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2"/>
      </tp>
      <tp>
        <v>156.364</v>
        <stp/>
        <stp>##V3_BDHV12</stp>
        <stp>AMZN US Equity</stp>
        <stp>EBITDA</stp>
        <stp>FQ4 2003</stp>
        <stp>FQ4 2003</stp>
        <stp>[FA1_j2ahgkxc.xlsx]Income - Adjusted!R46C22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6" s="2"/>
      </tp>
      <tp>
        <v>100.357</v>
        <stp/>
        <stp>##V3_BDHV12</stp>
        <stp>AMZN US Equity</stp>
        <stp>EBITDA</stp>
        <stp>FQ3 2004</stp>
        <stp>FQ3 2004</stp>
        <stp>[FA1_j2ahgkxc.xlsx]Income - Adjusted!R46C25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6" s="2"/>
      </tp>
      <tp>
        <v>176</v>
        <stp/>
        <stp>##V3_BDHV12</stp>
        <stp>AMZN US Equity</stp>
        <stp>EBITDA</stp>
        <stp>FQ2 2007</stp>
        <stp>FQ2 2007</stp>
        <stp>[FA1_j2ahgkxc.xlsx]Income - Adjusted!R46C36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6" s="2"/>
      </tp>
      <tp>
        <v>263</v>
        <stp/>
        <stp>##V3_BDHV12</stp>
        <stp>AMZN US Equity</stp>
        <stp>EBITDA</stp>
        <stp>FQ1 2008</stp>
        <stp>FQ1 2008</stp>
        <stp>[FA1_j2ahgkxc.xlsx]Income - Adjusted!R46C39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6" s="2"/>
      </tp>
      <tp>
        <v>73.153999999999996</v>
        <stp/>
        <stp>##V3_BDHV12</stp>
        <stp>AMZN US Equity</stp>
        <stp>NET_INCOME</stp>
        <stp>FQ4 2003</stp>
        <stp>FQ4 2003</stp>
        <stp>[FA1_j2ahgkxc.xlsx]Income - Adjusted!R26C22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6" s="2"/>
      </tp>
      <tp>
        <v>54.146999999999998</v>
        <stp/>
        <stp>##V3_BDHV12</stp>
        <stp>AMZN US Equity</stp>
        <stp>NET_INCOME</stp>
        <stp>FQ3 2004</stp>
        <stp>FQ3 2004</stp>
        <stp>[FA1_j2ahgkxc.xlsx]Income - Adjusted!R26C25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6" s="2"/>
      </tp>
      <tp>
        <v>78</v>
        <stp/>
        <stp>##V3_BDHV12</stp>
        <stp>AMZN US Equity</stp>
        <stp>NET_INCOME</stp>
        <stp>FQ2 2007</stp>
        <stp>FQ2 2007</stp>
        <stp>[FA1_j2ahgkxc.xlsx]Income - Adjusted!R26C36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6" s="2"/>
      </tp>
      <tp>
        <v>143</v>
        <stp/>
        <stp>##V3_BDHV12</stp>
        <stp>AMZN US Equity</stp>
        <stp>NET_INCOME</stp>
        <stp>FQ1 2008</stp>
        <stp>FQ1 2008</stp>
        <stp>[FA1_j2ahgkxc.xlsx]Income - Adjusted!R26C39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6" s="2"/>
      </tp>
      <tp>
        <v>1903.432</v>
        <stp/>
        <stp>##V3_BDHV12</stp>
        <stp>AMZN US Equity</stp>
        <stp>BS_SH_CAP_AND_APIC</stp>
        <stp>FQ4 2003</stp>
        <stp>FQ4 2003</stp>
        <stp>[FA1_j2ahgkxc.xlsx]Bal Sheet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3"/>
      </tp>
      <tp t="s">
        <v>—</v>
        <stp/>
        <stp>##V3_BDHV12</stp>
        <stp>AMZN US Equity</stp>
        <stp>BS_GROSS_FIX_ASSET</stp>
        <stp>FQ2 2008</stp>
        <stp>FQ2 2008</stp>
        <stp>[FA1_j2ahgkxc.xlsx]Bal Sheet - Standardized!R20C40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3"/>
      </tp>
      <tp>
        <v>2128.6950999999999</v>
        <stp/>
        <stp>##V3_BDHV12</stp>
        <stp>AMZN US Equity</stp>
        <stp>BS_SH_CAP_AND_APIC</stp>
        <stp>FQ4 2004</stp>
        <stp>FQ4 2004</stp>
        <stp>[FA1_j2ahgkxc.xlsx]Bal Sheet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3"/>
      </tp>
      <tp>
        <v>27.664999999999999</v>
        <stp/>
        <stp>##V3_BDHV12</stp>
        <stp>AMZN US Equity</stp>
        <stp>NET_CHG_IN_LT_INVEST_DETAILED</stp>
        <stp>FQ3 2000</stp>
        <stp>FQ3 2000</stp>
        <stp>[FA1_j2ahgkxc.xlsx]Cash Flow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4"/>
      </tp>
      <tp>
        <v>47.018999999999998</v>
        <stp/>
        <stp>##V3_BDHV12</stp>
        <stp>AMZN US Equity</stp>
        <stp>NET_CHG_IN_LT_INVEST_DETAILED</stp>
        <stp>FQ2 2000</stp>
        <stp>FQ2 2000</stp>
        <stp>[FA1_j2ahgkxc.xlsx]Cash Flow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4"/>
      </tp>
      <tp>
        <v>51</v>
        <stp/>
        <stp>##V3_BDHV12</stp>
        <stp>AMZN US Equity</stp>
        <stp>PRETAX_INC</stp>
        <stp>FQ3 2005</stp>
        <stp>FQ3 2005</stp>
        <stp>[FA1_j2ahgkxc.xlsx]Income - Adjusted!R20C29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0" s="2"/>
      </tp>
      <tp>
        <v>-18.706</v>
        <stp/>
        <stp>##V3_BDHV12</stp>
        <stp>AMZN US Equity</stp>
        <stp>EBITDA_MARGIN</stp>
        <stp>FQ3 1999</stp>
        <stp>FQ3 1999</stp>
        <stp>[FA1_j2ahgkxc.xlsx]Income - Adjusted!R47C6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7" s="2"/>
      </tp>
      <tp>
        <v>-17.5457</v>
        <stp/>
        <stp>##V3_BDHV12</stp>
        <stp>AMZN US Equity</stp>
        <stp>EBITDA_MARGIN</stp>
        <stp>FQ2 1999</stp>
        <stp>FQ2 1999</stp>
        <stp>[FA1_j2ahgkxc.xlsx]Income - Adjusted!R47C5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7" s="2"/>
      </tp>
      <tp>
        <v>-10.8283</v>
        <stp/>
        <stp>##V3_BDHV12</stp>
        <stp>AMZN US Equity</stp>
        <stp>EBITDA_MARGIN</stp>
        <stp>FQ1 1999</stp>
        <stp>FQ1 1999</stp>
        <stp>[FA1_j2ahgkxc.xlsx]Income - Adjusted!R47C4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7" s="2"/>
      </tp>
      <tp>
        <v>-7.6862000000000004</v>
        <stp/>
        <stp>##V3_BDHV12</stp>
        <stp>AMZN US Equity</stp>
        <stp>EBITDA_MARGIN</stp>
        <stp>FQ4 1999</stp>
        <stp>FQ4 1999</stp>
        <stp>[FA1_j2ahgkxc.xlsx]Income - Adjusted!R47C7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7" s="2"/>
      </tp>
      <tp>
        <v>351.48899999999998</v>
        <stp/>
        <stp>##V3_BDHV12</stp>
        <stp>AMZN US Equity</stp>
        <stp>NET_CHG_IN_LT_INVEST_DETAILED</stp>
        <stp>FQ1 2000</stp>
        <stp>FQ1 2000</stp>
        <stp>[FA1_j2ahgkxc.xlsx]Cash Flow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4"/>
      </tp>
      <tp>
        <v>371.738</v>
        <stp/>
        <stp>##V3_BDHV12</stp>
        <stp>AMZN US Equity</stp>
        <stp>BS_GROSS_FIX_ASSET</stp>
        <stp>FQ4 2003</stp>
        <stp>FQ4 2003</stp>
        <stp>[FA1_j2ahgkxc.xlsx]Bal Sheet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3"/>
      </tp>
      <tp>
        <v>422.96300000000002</v>
        <stp/>
        <stp>##V3_BDHV12</stp>
        <stp>AMZN US Equity</stp>
        <stp>BS_GROSS_FIX_ASSET</stp>
        <stp>FQ4 2004</stp>
        <stp>FQ4 2004</stp>
        <stp>[FA1_j2ahgkxc.xlsx]Bal Sheet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3"/>
      </tp>
      <tp>
        <v>3798</v>
        <stp/>
        <stp>##V3_BDHV12</stp>
        <stp>AMZN US Equity</stp>
        <stp>BS_SH_CAP_AND_APIC</stp>
        <stp>FQ2 2008</stp>
        <stp>FQ2 2008</stp>
        <stp>[FA1_j2ahgkxc.xlsx]Bal Sheet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3"/>
      </tp>
      <tp>
        <v>14.097</v>
        <stp/>
        <stp>##V3_BDHV12</stp>
        <stp>AMZN US Equity</stp>
        <stp>CF_ACCT_RCV_UNBILLED_REV</stp>
        <stp>FQ4 2004</stp>
        <stp>FQ4 2004</stp>
        <stp>[FA1_j2ahgkxc.xlsx]Cash Flow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4"/>
      </tp>
      <tp t="s">
        <v>—</v>
        <stp/>
        <stp>##V3_BDHV12</stp>
        <stp>AMZN US Equity</stp>
        <stp>EQY_FLOAT</stp>
        <stp>FQ1 2000</stp>
        <stp>FQ1 2000</stp>
        <stp>[FA1_j2ahgkxc.xlsx]Stock Value!R14C7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4" s="6"/>
      </tp>
      <tp t="s">
        <v>—</v>
        <stp/>
        <stp>##V3_BDHV12</stp>
        <stp>AMZN US Equity</stp>
        <stp>CF_ACCT_RCV_UNBILLED_REV</stp>
        <stp>FQ4 2003</stp>
        <stp>FQ4 2003</stp>
        <stp>[FA1_j2ahgkxc.xlsx]Cash Flow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4"/>
      </tp>
      <tp>
        <v>-25</v>
        <stp/>
        <stp>##V3_BDHV12</stp>
        <stp>AMZN US Equity</stp>
        <stp>CF_ACCT_RCV_UNBILLED_REV</stp>
        <stp>FQ2 2008</stp>
        <stp>FQ2 2008</stp>
        <stp>[FA1_j2ahgkxc.xlsx]Cash Flow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4"/>
      </tp>
      <tp>
        <v>-100.96899999999999</v>
        <stp/>
        <stp>##V3_BDHV12</stp>
        <stp>AMZN US Equity</stp>
        <stp>EBITDA</stp>
        <stp>FQ2 1999</stp>
        <stp>FQ2 1999</stp>
        <stp>[FA1_j2ahgkxc.xlsx]Income - Adjusted!R46C5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6" s="2"/>
      </tp>
      <tp>
        <v>972.36</v>
        <stp/>
        <stp>##V3_BDHV12</stp>
        <stp>AMZN US Equity</stp>
        <stp>SALES_REV_TURN</stp>
        <stp>FQ4 2000</stp>
        <stp>FQ4 2000</stp>
        <stp>[FA1_j2ahgkxc.xlsx]Income - Adjusted!R6C10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352.29</v>
        <stp/>
        <stp>##V3_BDHV12</stp>
        <stp>AMZN US Equity</stp>
        <stp>BS_NET_FIX_ASSET</stp>
        <stp>FQ3 2000</stp>
        <stp>FQ3 2000</stp>
        <stp>[FA1_j2ahgkxc.xlsx]Bal Sheet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334.39600000000002</v>
        <stp/>
        <stp>##V3_BDHV12</stp>
        <stp>AMZN US Equity</stp>
        <stp>BS_NET_FIX_ASSET</stp>
        <stp>FQ1 2000</stp>
        <stp>FQ1 2000</stp>
        <stp>[FA1_j2ahgkxc.xlsx]Bal Sheet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3"/>
      </tp>
      <tp>
        <v>2.5274000000000001</v>
        <stp/>
        <stp>##V3_BDHV12</stp>
        <stp>AMZN US Equity</stp>
        <stp>CASH_ST_INVESTMENTS_PER_SH</stp>
        <stp>FQ3 2000</stp>
        <stp>FQ3 2000</stp>
        <stp>[FA1_j2ahgkxc.xlsx]Per Share!R25C9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5" s="5"/>
      </tp>
      <tp>
        <v>-223.608</v>
        <stp/>
        <stp>##V3_BDHV12</stp>
        <stp>AMZN US Equity</stp>
        <stp>IS_INC_BEF_XO_ITEM</stp>
        <stp>FQ1 2001</stp>
        <stp>FQ1 2001</stp>
        <stp>[FA1_j2ahgkxc.xlsx]Income - Adjusted!R22C11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2"/>
      </tp>
      <tp>
        <v>0</v>
        <stp/>
        <stp>##V3_BDHV12</stp>
        <stp>AMZN US Equity</stp>
        <stp>OTHER_NONCUR_LIABS_SUB_DETAILED</stp>
        <stp>FQ4 2001</stp>
        <stp>FQ4 2001</stp>
        <stp>[FA1_j2ahgkxc.xlsx]Bal Sheet - Standardized!R43C14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3" s="3"/>
      </tp>
      <tp>
        <v>98</v>
        <stp/>
        <stp>##V3_BDHV12</stp>
        <stp>AMZN US Equity</stp>
        <stp>IS_INC_BEF_XO_ITEM</stp>
        <stp>FQ4 2006</stp>
        <stp>FQ4 2006</stp>
        <stp>[FA1_j2ahgkxc.xlsx]Income - Adjusted!R22C34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2"/>
      </tp>
      <tp>
        <v>-93.552999999999997</v>
        <stp/>
        <stp>##V3_BDHV12</stp>
        <stp>AMZN US Equity</stp>
        <stp>IS_INC_BEF_XO_ITEM</stp>
        <stp>FQ2 2002</stp>
        <stp>FQ2 2002</stp>
        <stp>[FA1_j2ahgkxc.xlsx]Income - Adjusted!R22C16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2"/>
      </tp>
      <tp>
        <v>0</v>
        <stp/>
        <stp>##V3_BDHV12</stp>
        <stp>AMZN US Equity</stp>
        <stp>OTHER_NONCUR_LIABS_SUB_DETAILED</stp>
        <stp>FQ4 2000</stp>
        <stp>FQ4 2000</stp>
        <stp>[FA1_j2ahgkxc.xlsx]Bal Sheet - Standardized!R43C10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3" s="3"/>
      </tp>
      <tp>
        <v>0</v>
        <stp/>
        <stp>##V3_BDHV12</stp>
        <stp>AMZN US Equity</stp>
        <stp>OTHER_NONCUR_LIABS_SUB_DETAILED</stp>
        <stp>FQ4 2002</stp>
        <stp>FQ4 2002</stp>
        <stp>[FA1_j2ahgkxc.xlsx]Bal Sheet - Standardized!R43C18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3" s="3"/>
      </tp>
      <tp>
        <v>1346.135</v>
        <stp/>
        <stp>##V3_BDHV12</stp>
        <stp>AMZN US Equity</stp>
        <stp>BS_SH_CAP_AND_APIC</stp>
        <stp>FQ3 2000</stp>
        <stp>FQ3 2000</stp>
        <stp>[FA1_j2ahgkxc.xlsx]Bal Sheet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3"/>
      </tp>
      <tp>
        <v>1297.261</v>
        <stp/>
        <stp>##V3_BDHV12</stp>
        <stp>AMZN US Equity</stp>
        <stp>BS_SH_CAP_AND_APIC</stp>
        <stp>FQ1 2000</stp>
        <stp>FQ1 2000</stp>
        <stp>[FA1_j2ahgkxc.xlsx]Bal Sheet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3"/>
      </tp>
      <tp>
        <v>-62.002000000000002</v>
        <stp/>
        <stp>##V3_BDHV12</stp>
        <stp>AMZN US Equity</stp>
        <stp>EBITDA</stp>
        <stp>FQ4 2000</stp>
        <stp>FQ4 2000</stp>
        <stp>[FA1_j2ahgkxc.xlsx]Income - Adjusted!R46C10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6" s="2"/>
      </tp>
      <tp>
        <v>184</v>
        <stp/>
        <stp>##V3_BDHV12</stp>
        <stp>AMZN US Equity</stp>
        <stp>EBITDA</stp>
        <stp>FQ3 2007</stp>
        <stp>FQ3 2007</stp>
        <stp>[FA1_j2ahgkxc.xlsx]Income - Adjusted!R46C37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6" s="2"/>
      </tp>
      <tp>
        <v>97.253</v>
        <stp/>
        <stp>##V3_BDHV12</stp>
        <stp>AMZN US Equity</stp>
        <stp>EBITDA</stp>
        <stp>FQ2 2004</stp>
        <stp>FQ2 2004</stp>
        <stp>[FA1_j2ahgkxc.xlsx]Income - Adjusted!R46C24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6" s="2"/>
      </tp>
      <tp>
        <v>-28.443999999999999</v>
        <stp/>
        <stp>##V3_BDHV12</stp>
        <stp>AMZN US Equity</stp>
        <stp>EBITDA</stp>
        <stp>FQ1 2001</stp>
        <stp>FQ1 2001</stp>
        <stp>[FA1_j2ahgkxc.xlsx]Income - Adjusted!R46C11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6" s="2"/>
      </tp>
      <tp>
        <v>-545.14</v>
        <stp/>
        <stp>##V3_BDHV12</stp>
        <stp>AMZN US Equity</stp>
        <stp>NET_INCOME</stp>
        <stp>FQ4 2000</stp>
        <stp>FQ4 2000</stp>
        <stp>[FA1_j2ahgkxc.xlsx]Income - Adjusted!R26C10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6" s="2"/>
      </tp>
      <tp>
        <v>80</v>
        <stp/>
        <stp>##V3_BDHV12</stp>
        <stp>AMZN US Equity</stp>
        <stp>NET_INCOME</stp>
        <stp>FQ3 2007</stp>
        <stp>FQ3 2007</stp>
        <stp>[FA1_j2ahgkxc.xlsx]Income - Adjusted!R26C37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6" s="2"/>
      </tp>
      <tp>
        <v>76.48</v>
        <stp/>
        <stp>##V3_BDHV12</stp>
        <stp>AMZN US Equity</stp>
        <stp>NET_INCOME</stp>
        <stp>FQ2 2004</stp>
        <stp>FQ2 2004</stp>
        <stp>[FA1_j2ahgkxc.xlsx]Income - Adjusted!R26C24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6" s="2"/>
      </tp>
      <tp>
        <v>-234.131</v>
        <stp/>
        <stp>##V3_BDHV12</stp>
        <stp>AMZN US Equity</stp>
        <stp>NET_INCOME</stp>
        <stp>FQ1 2001</stp>
        <stp>FQ1 2001</stp>
        <stp>[FA1_j2ahgkxc.xlsx]Income - Adjusted!R26C11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6" s="2"/>
      </tp>
      <tp t="s">
        <v>—</v>
        <stp/>
        <stp>##V3_BDHV12</stp>
        <stp>AMZN US Equity</stp>
        <stp>BS_GROSS_FIX_ASSET</stp>
        <stp>FQ3 2008</stp>
        <stp>FQ3 2008</stp>
        <stp>[FA1_j2ahgkxc.xlsx]Bal Sheet - Standardized!R20C41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3"/>
      </tp>
      <tp>
        <v>2521</v>
        <stp/>
        <stp>##V3_BDHV12</stp>
        <stp>AMZN US Equity</stp>
        <stp>BS_SH_CAP_AND_APIC</stp>
        <stp>FQ4 2006</stp>
        <stp>FQ4 2006</stp>
        <stp>[FA1_j2ahgkxc.xlsx]Bal Sheet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3"/>
      </tp>
      <tp>
        <v>1023</v>
        <stp/>
        <stp>##V3_BDHV12</stp>
        <stp>AMZN US Equity</stp>
        <stp>BS_GROSS_FIX_ASSET</stp>
        <stp>FQ4 2007</stp>
        <stp>FQ4 2007</stp>
        <stp>[FA1_j2ahgkxc.xlsx]Bal Sheet - Standardized!R20C38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3"/>
      </tp>
      <tp>
        <v>2267</v>
        <stp/>
        <stp>##V3_BDHV12</stp>
        <stp>AMZN US Equity</stp>
        <stp>BS_SH_CAP_AND_APIC</stp>
        <stp>FQ4 2005</stp>
        <stp>FQ4 2005</stp>
        <stp>[FA1_j2ahgkxc.xlsx]Bal Sheet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3"/>
      </tp>
      <tp>
        <v>108</v>
        <stp/>
        <stp>##V3_BDHV12</stp>
        <stp>AMZN US Equity</stp>
        <stp>PRETAX_INC</stp>
        <stp>FQ2 2005</stp>
        <stp>FQ2 2005</stp>
        <stp>[FA1_j2ahgkxc.xlsx]Income - Adjusted!R20C28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0" s="2"/>
      </tp>
      <tp>
        <v>571</v>
        <stp/>
        <stp>##V3_BDHV12</stp>
        <stp>AMZN US Equity</stp>
        <stp>BS_GROSS_FIX_ASSET</stp>
        <stp>FQ4 2005</stp>
        <stp>FQ4 2005</stp>
        <stp>[FA1_j2ahgkxc.xlsx]Bal Sheet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3"/>
      </tp>
      <tp>
        <v>-8.2250999999999994</v>
        <stp/>
        <stp>##V3_BDHV12</stp>
        <stp>AMZN US Equity</stp>
        <stp>EBITDA_MARGIN</stp>
        <stp>FQ4 1998</stp>
        <stp>FQ4 1998</stp>
        <stp>[FA1_j2ahgkxc.xlsx]Income - Adjusted!R47C3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7" s="2"/>
      </tp>
      <tp>
        <v>824</v>
        <stp/>
        <stp>##V3_BDHV12</stp>
        <stp>AMZN US Equity</stp>
        <stp>BS_GROSS_FIX_ASSET</stp>
        <stp>FQ4 2006</stp>
        <stp>FQ4 2006</stp>
        <stp>[FA1_j2ahgkxc.xlsx]Bal Sheet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3"/>
      </tp>
      <tp>
        <v>4055</v>
        <stp/>
        <stp>##V3_BDHV12</stp>
        <stp>AMZN US Equity</stp>
        <stp>BS_SH_CAP_AND_APIC</stp>
        <stp>FQ3 2008</stp>
        <stp>FQ3 2008</stp>
        <stp>[FA1_j2ahgkxc.xlsx]Bal Sheet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3"/>
      </tp>
      <tp>
        <v>3067</v>
        <stp/>
        <stp>##V3_BDHV12</stp>
        <stp>AMZN US Equity</stp>
        <stp>BS_SH_CAP_AND_APIC</stp>
        <stp>FQ4 2007</stp>
        <stp>FQ4 2007</stp>
        <stp>[FA1_j2ahgkxc.xlsx]Bal Sheet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3"/>
      </tp>
      <tp>
        <v>655</v>
        <stp/>
        <stp>##V3_BDHV12</stp>
        <stp>AMZN US Equity</stp>
        <stp>IS_OPERATING_EXPN</stp>
        <stp>FQ4 2006</stp>
        <stp>FQ4 2006</stp>
        <stp>[FA1_j2ahgkxc.xlsx]Income - Adjusted!R9C34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>
        <v>509</v>
        <stp/>
        <stp>##V3_BDHV12</stp>
        <stp>AMZN US Equity</stp>
        <stp>IS_OPERATING_EXPN</stp>
        <stp>FQ3 2006</stp>
        <stp>FQ3 2006</stp>
        <stp>[FA1_j2ahgkxc.xlsx]Income - Adjusted!R9C33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>
        <v>462</v>
        <stp/>
        <stp>##V3_BDHV12</stp>
        <stp>AMZN US Equity</stp>
        <stp>IS_OPERATING_EXPN</stp>
        <stp>FQ2 2006</stp>
        <stp>FQ2 2006</stp>
        <stp>[FA1_j2ahgkxc.xlsx]Income - Adjusted!R9C32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>
        <v>441</v>
        <stp/>
        <stp>##V3_BDHV12</stp>
        <stp>AMZN US Equity</stp>
        <stp>IS_OPERATING_EXPN</stp>
        <stp>FQ1 2006</stp>
        <stp>FQ1 2006</stp>
        <stp>[FA1_j2ahgkxc.xlsx]Income - Adjusted!R9C31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>
        <v>374.87400000000002</v>
        <stp/>
        <stp>##V3_BDHV12</stp>
        <stp>AMZN US Equity</stp>
        <stp>IS_OPERATING_EXPN</stp>
        <stp>FQ4 2004</stp>
        <stp>FQ4 2004</stp>
        <stp>[FA1_j2ahgkxc.xlsx]Income - Adjusted!R9C26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>
        <v>250.399</v>
        <stp/>
        <stp>##V3_BDHV12</stp>
        <stp>AMZN US Equity</stp>
        <stp>IS_OPERATING_EXPN</stp>
        <stp>FQ1 2004</stp>
        <stp>FQ1 2004</stp>
        <stp>[FA1_j2ahgkxc.xlsx]Income - Adjusted!R9C23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>
        <v>211.37700000000001</v>
        <stp/>
        <stp>##V3_BDHV12</stp>
        <stp>AMZN US Equity</stp>
        <stp>IS_OPERATING_EXPN</stp>
        <stp>FQ1 2002</stp>
        <stp>FQ1 2002</stp>
        <stp>[FA1_j2ahgkxc.xlsx]Income - Adjusted!R9C15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>
        <v>189.05500000000001</v>
        <stp/>
        <stp>##V3_BDHV12</stp>
        <stp>AMZN US Equity</stp>
        <stp>IS_OPERATING_EXPN</stp>
        <stp>FQ3 2002</stp>
        <stp>FQ3 2002</stp>
        <stp>[FA1_j2ahgkxc.xlsx]Income - Adjusted!R9C17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>
        <v>216.69499999999999</v>
        <stp/>
        <stp>##V3_BDHV12</stp>
        <stp>AMZN US Equity</stp>
        <stp>IS_OPERATING_EXPN</stp>
        <stp>FQ2 2002</stp>
        <stp>FQ2 2002</stp>
        <stp>[FA1_j2ahgkxc.xlsx]Income - Adjusted!R9C16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>
        <v>0</v>
        <stp/>
        <stp>##V3_BDHV12</stp>
        <stp>AMZN US Equity</stp>
        <stp>MINORITY_NONCONTROLLING_INTEREST</stp>
        <stp>FQ4 2006</stp>
        <stp>FQ4 2006</stp>
        <stp>[FA1_j2ahgkxc.xlsx]Bal Sheet - Standardized!R53C34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3" s="3"/>
      </tp>
      <tp t="s">
        <v>—</v>
        <stp/>
        <stp>##V3_BDHV12</stp>
        <stp>AMZN US Equity</stp>
        <stp>CF_ACCT_RCV_UNBILLED_REV</stp>
        <stp>FQ4 2001</stp>
        <stp>FQ4 2001</stp>
        <stp>[FA1_j2ahgkxc.xlsx]Cash Flow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4"/>
      </tp>
      <tp t="s">
        <v>—</v>
        <stp/>
        <stp>##V3_BDHV12</stp>
        <stp>AMZN US Equity</stp>
        <stp>CF_ACCT_RCV_UNBILLED_REV</stp>
        <stp>FQ4 2000</stp>
        <stp>FQ4 2000</stp>
        <stp>[FA1_j2ahgkxc.xlsx]Cash Flow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4"/>
      </tp>
      <tp>
        <v>0</v>
        <stp/>
        <stp>##V3_BDHV12</stp>
        <stp>AMZN US Equity</stp>
        <stp>MINORITY_NONCONTROLLING_INTEREST</stp>
        <stp>FQ4 2005</stp>
        <stp>FQ4 2005</stp>
        <stp>[FA1_j2ahgkxc.xlsx]Bal Sheet - Standardized!R53C30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3" s="3"/>
      </tp>
      <tp t="s">
        <v>—</v>
        <stp/>
        <stp>##V3_BDHV12</stp>
        <stp>AMZN US Equity</stp>
        <stp>CF_ACCT_RCV_UNBILLED_REV</stp>
        <stp>FQ4 2002</stp>
        <stp>FQ4 2002</stp>
        <stp>[FA1_j2ahgkxc.xlsx]Cash Flow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4"/>
      </tp>
      <tp>
        <v>0</v>
        <stp/>
        <stp>##V3_BDHV12</stp>
        <stp>AMZN US Equity</stp>
        <stp>MINORITY_NONCONTROLLING_INTEREST</stp>
        <stp>FQ4 2007</stp>
        <stp>FQ4 2007</stp>
        <stp>[FA1_j2ahgkxc.xlsx]Bal Sheet - Standardized!R53C38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3" s="3"/>
      </tp>
      <tp>
        <v>0</v>
        <stp/>
        <stp>##V3_BDHV12</stp>
        <stp>AMZN US Equity</stp>
        <stp>MINORITY_NONCONTROLLING_INTEREST</stp>
        <stp>FQ3 2008</stp>
        <stp>FQ3 2008</stp>
        <stp>[FA1_j2ahgkxc.xlsx]Bal Sheet - Standardized!R53C41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3" s="3"/>
      </tp>
      <tp>
        <v>2.8829000000000002</v>
        <stp/>
        <stp>##V3_BDHV12</stp>
        <stp>AMZN US Equity</stp>
        <stp>CASH_ST_INVESTMENTS_PER_SH</stp>
        <stp>FQ1 2000</stp>
        <stp>FQ1 2000</stp>
        <stp>[FA1_j2ahgkxc.xlsx]Per Share!R25C8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5" s="5"/>
      </tp>
      <tp>
        <v>25.76</v>
        <stp/>
        <stp>##V3_BDHV12</stp>
        <stp>AMZN US Equity</stp>
        <stp>PX_LOW</stp>
        <stp>FQ3 2006</stp>
        <stp>FQ3 2006</stp>
        <stp>[FA1_j2ahgkxc.xlsx]Stock Value!R10C33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0" s="6"/>
      </tp>
      <tp>
        <v>5.51</v>
        <stp/>
        <stp>##V3_BDHV12</stp>
        <stp>AMZN US Equity</stp>
        <stp>PX_LOW</stp>
        <stp>FQ4 2001</stp>
        <stp>FQ4 2001</stp>
        <stp>[FA1_j2ahgkxc.xlsx]Stock Value!R10C14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0" s="6"/>
      </tp>
      <tp>
        <v>31.52</v>
        <stp/>
        <stp>##V3_BDHV12</stp>
        <stp>AMZN US Equity</stp>
        <stp>PX_LOW</stp>
        <stp>FQ2 2006</stp>
        <stp>FQ2 2006</stp>
        <stp>[FA1_j2ahgkxc.xlsx]Stock Value!R10C32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0" s="6"/>
      </tp>
      <tp>
        <v>35.139000000000003</v>
        <stp/>
        <stp>##V3_BDHV12</stp>
        <stp>AMZN US Equity</stp>
        <stp>PX_LOW</stp>
        <stp>FQ1 2006</stp>
        <stp>FQ1 2006</stp>
        <stp>[FA1_j2ahgkxc.xlsx]Stock Value!R10C31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0" s="6"/>
      </tp>
      <tp>
        <v>15.563000000000001</v>
        <stp/>
        <stp>##V3_BDHV12</stp>
        <stp>AMZN US Equity</stp>
        <stp>IS_INC_BEF_XO_ITEM</stp>
        <stp>FQ3 2003</stp>
        <stp>FQ3 2003</stp>
        <stp>[FA1_j2ahgkxc.xlsx]Income - Adjusted!R22C21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2"/>
      </tp>
      <tp>
        <v>346.68799999999999</v>
        <stp/>
        <stp>##V3_BDHV12</stp>
        <stp>AMZN US Equity</stp>
        <stp>IS_INC_BEF_XO_ITEM</stp>
        <stp>FQ4 2004</stp>
        <stp>FQ4 2004</stp>
        <stp>[FA1_j2ahgkxc.xlsx]Income - Adjusted!R22C26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2"/>
      </tp>
      <tp>
        <v>-168.35900000000001</v>
        <stp/>
        <stp>##V3_BDHV12</stp>
        <stp>AMZN US Equity</stp>
        <stp>IS_INC_BEF_XO_ITEM</stp>
        <stp>FQ2 2001</stp>
        <stp>FQ2 2001</stp>
        <stp>[FA1_j2ahgkxc.xlsx]Income - Adjusted!R22C12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2"/>
      </tp>
      <tp>
        <v>9.5630000000000006</v>
        <stp/>
        <stp>##V3_BDHV12</stp>
        <stp>AMZN US Equity</stp>
        <stp>PX_LOW</stp>
        <stp>FQ1 2001</stp>
        <stp>FQ1 2001</stp>
        <stp>[FA1_j2ahgkxc.xlsx]Stock Value!R10C11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0" s="6"/>
      </tp>
      <tp>
        <v>199</v>
        <stp/>
        <stp>##V3_BDHV12</stp>
        <stp>AMZN US Equity</stp>
        <stp>IS_INC_BEF_XO_ITEM</stp>
        <stp>FQ4 2005</stp>
        <stp>FQ4 2005</stp>
        <stp>[FA1_j2ahgkxc.xlsx]Income - Adjusted!R22C30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2"/>
      </tp>
      <tp>
        <v>0</v>
        <stp/>
        <stp>##V3_BDHV12</stp>
        <stp>AMZN US Equity</stp>
        <stp>OTHER_NONCUR_LIABS_SUB_DETAILED</stp>
        <stp>FQ4 2003</stp>
        <stp>FQ4 2003</stp>
        <stp>[FA1_j2ahgkxc.xlsx]Bal Sheet - Standardized!R43C22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3" s="3"/>
      </tp>
      <tp>
        <v>8.1</v>
        <stp/>
        <stp>##V3_BDHV12</stp>
        <stp>AMZN US Equity</stp>
        <stp>PX_LOW</stp>
        <stp>FQ2 2001</stp>
        <stp>FQ2 2001</stp>
        <stp>[FA1_j2ahgkxc.xlsx]Stock Value!R10C12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0" s="6"/>
      </tp>
      <tp>
        <v>-0.25590000000000002</v>
        <stp/>
        <stp>##V3_BDHV12</stp>
        <stp>AMZN US Equity</stp>
        <stp>TANG_BOOK_VAL_PER_SH</stp>
        <stp>FQ2 1999</stp>
        <stp>FQ2 1999</stp>
        <stp>[FA1_j2ahgkxc.xlsx]Per Share!R27C5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7" s="5"/>
      </tp>
      <tp>
        <v>0</v>
        <stp/>
        <stp>##V3_BDHV12</stp>
        <stp>AMZN US Equity</stp>
        <stp>OTHER_NONCUR_LIABS_SUB_DETAILED</stp>
        <stp>FQ4 2004</stp>
        <stp>FQ4 2004</stp>
        <stp>[FA1_j2ahgkxc.xlsx]Bal Sheet - Standardized!R43C26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3" s="3"/>
      </tp>
      <tp>
        <v>30.58</v>
        <stp/>
        <stp>##V3_BDHV12</stp>
        <stp>AMZN US Equity</stp>
        <stp>PX_LOW</stp>
        <stp>FQ4 2006</stp>
        <stp>FQ4 2006</stp>
        <stp>[FA1_j2ahgkxc.xlsx]Stock Value!R10C34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0" s="6"/>
      </tp>
      <tp>
        <v>5.67</v>
        <stp/>
        <stp>##V3_BDHV12</stp>
        <stp>AMZN US Equity</stp>
        <stp>PX_LOW</stp>
        <stp>FQ3 2001</stp>
        <stp>FQ3 2001</stp>
        <stp>[FA1_j2ahgkxc.xlsx]Stock Value!R10C13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0" s="6"/>
      </tp>
      <tp>
        <v>-23.951000000000001</v>
        <stp/>
        <stp>##V3_BDHV12</stp>
        <stp>AMZN US Equity</stp>
        <stp>IS_INC_BEF_XO_ITEM</stp>
        <stp>FQ1 2002</stp>
        <stp>FQ1 2002</stp>
        <stp>[FA1_j2ahgkxc.xlsx]Income - Adjusted!R22C15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2"/>
      </tp>
      <tp>
        <v>443</v>
        <stp/>
        <stp>##V3_BDHV12</stp>
        <stp>AMZN US Equity</stp>
        <stp>OTHER_NONCUR_LIABS_SUB_DETAILED</stp>
        <stp>FQ2 2008</stp>
        <stp>FQ2 2008</stp>
        <stp>[FA1_j2ahgkxc.xlsx]Bal Sheet - Standardized!R43C40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3" s="3"/>
      </tp>
      <tp>
        <v>60.826000000000001</v>
        <stp/>
        <stp>##V3_BDHV12</stp>
        <stp>AMZN US Equity</stp>
        <stp>EBITDA</stp>
        <stp>FQ2 2003</stp>
        <stp>FQ2 2003</stp>
        <stp>[FA1_j2ahgkxc.xlsx]Income - Adjusted!R46C20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6" s="2"/>
      </tp>
      <tp>
        <v>-9.5660000000000007</v>
        <stp/>
        <stp>##V3_BDHV12</stp>
        <stp>AMZN US Equity</stp>
        <stp>EBITDA</stp>
        <stp>FQ2 2001</stp>
        <stp>FQ2 2001</stp>
        <stp>[FA1_j2ahgkxc.xlsx]Income - Adjusted!R46C12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6" s="2"/>
      </tp>
      <tp>
        <v>-168.35900000000001</v>
        <stp/>
        <stp>##V3_BDHV12</stp>
        <stp>AMZN US Equity</stp>
        <stp>NET_INCOME</stp>
        <stp>FQ2 2001</stp>
        <stp>FQ2 2001</stp>
        <stp>[FA1_j2ahgkxc.xlsx]Income - Adjusted!R26C12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6" s="2"/>
      </tp>
      <tp>
        <v>-43.314</v>
        <stp/>
        <stp>##V3_BDHV12</stp>
        <stp>AMZN US Equity</stp>
        <stp>NET_INCOME</stp>
        <stp>FQ2 2003</stp>
        <stp>FQ2 2003</stp>
        <stp>[FA1_j2ahgkxc.xlsx]Income - Adjusted!R26C20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6" s="2"/>
      </tp>
      <tp>
        <v>862.53599999999994</v>
        <stp/>
        <stp>##V3_BDHV12</stp>
        <stp>AMZN US Equity</stp>
        <stp>BS_MKT_SEC_OTHER_ST_INVEST</stp>
        <stp>FQ3 1999</stp>
        <stp>FQ3 1999</stp>
        <stp>[FA1_j2ahgkxc.xlsx]Bal Sheet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589.226</v>
        <stp/>
        <stp>##V3_BDHV12</stp>
        <stp>AMZN US Equity</stp>
        <stp>BS_MKT_SEC_OTHER_ST_INVEST</stp>
        <stp>FQ4 1999</stp>
        <stp>FQ4 1999</stp>
        <stp>[FA1_j2ahgkxc.xlsx]Bal Sheet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1437.7170000000001</v>
        <stp/>
        <stp>##V3_BDHV12</stp>
        <stp>AMZN US Equity</stp>
        <stp>BS_MKT_SEC_OTHER_ST_INVEST</stp>
        <stp>FQ1 1999</stp>
        <stp>FQ1 1999</stp>
        <stp>[FA1_j2ahgkxc.xlsx]Bal Sheet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1101.6980000000001</v>
        <stp/>
        <stp>##V3_BDHV12</stp>
        <stp>AMZN US Equity</stp>
        <stp>BS_MKT_SEC_OTHER_ST_INVEST</stp>
        <stp>FQ2 1999</stp>
        <stp>FQ2 1999</stp>
        <stp>[FA1_j2ahgkxc.xlsx]Bal Sheet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289.08100000000002</v>
        <stp/>
        <stp>##V3_BDHV12</stp>
        <stp>AMZN US Equity</stp>
        <stp>IS_OPERATING_EXPN</stp>
        <stp>FQ4 2003</stp>
        <stp>FQ4 2003</stp>
        <stp>[FA1_j2ahgkxc.xlsx]Income - Adjusted!R9C22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>
        <v>27.620999999999999</v>
        <stp/>
        <stp>##V3_BDHV12</stp>
        <stp>AMZN US Equity</stp>
        <stp>IS_INT_EXPENSE</stp>
        <stp>FQ1 2000</stp>
        <stp>FQ1 2000</stp>
        <stp>[FA1_j2ahgkxc.xlsx]Income - Adjusted!R14C8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>
        <v>0</v>
        <stp/>
        <stp>##V3_BDHV12</stp>
        <stp>AMZN US Equity</stp>
        <stp>MINORITY_NONCONTROLLING_INTEREST</stp>
        <stp>FQ4 2004</stp>
        <stp>FQ4 2004</stp>
        <stp>[FA1_j2ahgkxc.xlsx]Bal Sheet - Standardized!R53C26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3" s="3"/>
      </tp>
      <tp>
        <v>0</v>
        <stp/>
        <stp>##V3_BDHV12</stp>
        <stp>AMZN US Equity</stp>
        <stp>MINORITY_NONCONTROLLING_INTEREST</stp>
        <stp>FQ4 2003</stp>
        <stp>FQ4 2003</stp>
        <stp>[FA1_j2ahgkxc.xlsx]Bal Sheet - Standardized!R53C22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3" s="3"/>
      </tp>
      <tp>
        <v>0</v>
        <stp/>
        <stp>##V3_BDHV12</stp>
        <stp>AMZN US Equity</stp>
        <stp>MINORITY_NONCONTROLLING_INTEREST</stp>
        <stp>FQ2 2008</stp>
        <stp>FQ2 2008</stp>
        <stp>[FA1_j2ahgkxc.xlsx]Bal Sheet - Standardized!R53C40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3" s="3"/>
      </tp>
      <tp>
        <v>-69.587999999999994</v>
        <stp/>
        <stp>##V3_BDHV12</stp>
        <stp>AMZN US Equity</stp>
        <stp>EBITDA</stp>
        <stp>FQ3 1999</stp>
        <stp>FQ3 1999</stp>
        <stp>[FA1_j2ahgkxc.xlsx]Income - Adjusted!R46C6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6" s="2"/>
      </tp>
      <tp>
        <v>-46.356000000000002</v>
        <stp/>
        <stp>##V3_BDHV12</stp>
        <stp>AMZN US Equity</stp>
        <stp>EBITDA</stp>
        <stp>FQ1 1999</stp>
        <stp>FQ1 1999</stp>
        <stp>[FA1_j2ahgkxc.xlsx]Income - Adjusted!R46C4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6" s="2"/>
      </tp>
      <tp>
        <v>847.42200000000003</v>
        <stp/>
        <stp>##V3_BDHV12</stp>
        <stp>AMZN US Equity</stp>
        <stp>SALES_REV_TURN</stp>
        <stp>FQ1 2002</stp>
        <stp>FQ1 2002</stp>
        <stp>[FA1_j2ahgkxc.xlsx]Income - Adjusted!R6C15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851.29899999999998</v>
        <stp/>
        <stp>##V3_BDHV12</stp>
        <stp>AMZN US Equity</stp>
        <stp>SALES_REV_TURN</stp>
        <stp>FQ3 2002</stp>
        <stp>FQ3 2002</stp>
        <stp>[FA1_j2ahgkxc.xlsx]Income - Adjusted!R6C17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805.60500000000002</v>
        <stp/>
        <stp>##V3_BDHV12</stp>
        <stp>AMZN US Equity</stp>
        <stp>SALES_REV_TURN</stp>
        <stp>FQ2 2002</stp>
        <stp>FQ2 2002</stp>
        <stp>[FA1_j2ahgkxc.xlsx]Income - Adjusted!R6C16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1530.3489999999999</v>
        <stp/>
        <stp>##V3_BDHV12</stp>
        <stp>AMZN US Equity</stp>
        <stp>SALES_REV_TURN</stp>
        <stp>FQ1 2004</stp>
        <stp>FQ1 2004</stp>
        <stp>[FA1_j2ahgkxc.xlsx]Income - Adjusted!R6C23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2540.9589999999998</v>
        <stp/>
        <stp>##V3_BDHV12</stp>
        <stp>AMZN US Equity</stp>
        <stp>SALES_REV_TURN</stp>
        <stp>FQ4 2004</stp>
        <stp>FQ4 2004</stp>
        <stp>[FA1_j2ahgkxc.xlsx]Income - Adjusted!R6C26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2307</v>
        <stp/>
        <stp>##V3_BDHV12</stp>
        <stp>AMZN US Equity</stp>
        <stp>SALES_REV_TURN</stp>
        <stp>FQ3 2006</stp>
        <stp>FQ3 2006</stp>
        <stp>[FA1_j2ahgkxc.xlsx]Income - Adjusted!R6C33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2139</v>
        <stp/>
        <stp>##V3_BDHV12</stp>
        <stp>AMZN US Equity</stp>
        <stp>SALES_REV_TURN</stp>
        <stp>FQ2 2006</stp>
        <stp>FQ2 2006</stp>
        <stp>[FA1_j2ahgkxc.xlsx]Income - Adjusted!R6C32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2279</v>
        <stp/>
        <stp>##V3_BDHV12</stp>
        <stp>AMZN US Equity</stp>
        <stp>SALES_REV_TURN</stp>
        <stp>FQ1 2006</stp>
        <stp>FQ1 2006</stp>
        <stp>[FA1_j2ahgkxc.xlsx]Income - Adjusted!R6C31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3986</v>
        <stp/>
        <stp>##V3_BDHV12</stp>
        <stp>AMZN US Equity</stp>
        <stp>SALES_REV_TURN</stp>
        <stp>FQ4 2006</stp>
        <stp>FQ4 2006</stp>
        <stp>[FA1_j2ahgkxc.xlsx]Income - Adjusted!R6C34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0</v>
        <stp/>
        <stp>##V3_BDHV12</stp>
        <stp>AMZN US Equity</stp>
        <stp>OTHER_NONCUR_LIABS_SUB_DETAILED</stp>
        <stp>FQ4 2005</stp>
        <stp>FQ4 2005</stp>
        <stp>[FA1_j2ahgkxc.xlsx]Bal Sheet - Standardized!R43C30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3" s="3"/>
      </tp>
      <tp>
        <v>-169.874</v>
        <stp/>
        <stp>##V3_BDHV12</stp>
        <stp>AMZN US Equity</stp>
        <stp>IS_INC_BEF_XO_ITEM</stp>
        <stp>FQ3 2001</stp>
        <stp>FQ3 2001</stp>
        <stp>[FA1_j2ahgkxc.xlsx]Income - Adjusted!R22C13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2"/>
      </tp>
      <tp>
        <v>-43.314</v>
        <stp/>
        <stp>##V3_BDHV12</stp>
        <stp>AMZN US Equity</stp>
        <stp>IS_INC_BEF_XO_ITEM</stp>
        <stp>FQ2 2003</stp>
        <stp>FQ2 2003</stp>
        <stp>[FA1_j2ahgkxc.xlsx]Income - Adjusted!R22C20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2"/>
      </tp>
      <tp>
        <v>153</v>
        <stp/>
        <stp>##V3_BDHV12</stp>
        <stp>AMZN US Equity</stp>
        <stp>OTHER_NONCUR_LIABS_SUB_DETAILED</stp>
        <stp>FQ4 2006</stp>
        <stp>FQ4 2006</stp>
        <stp>[FA1_j2ahgkxc.xlsx]Bal Sheet - Standardized!R43C34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3" s="3"/>
      </tp>
      <tp>
        <v>-0.14949999999999999</v>
        <stp/>
        <stp>##V3_BDHV12</stp>
        <stp>AMZN US Equity</stp>
        <stp>TANG_BOOK_VAL_PER_SH</stp>
        <stp>FQ4 1998</stp>
        <stp>FQ4 1998</stp>
        <stp>[FA1_j2ahgkxc.xlsx]Per Share!R27C3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7" s="5"/>
      </tp>
      <tp t="s">
        <v>—</v>
        <stp/>
        <stp>##V3_BDHV12</stp>
        <stp>AMZN US Equity</stp>
        <stp>BS_OPTIONS_OUTSTANDING</stp>
        <stp>FQ4 1999</stp>
        <stp>FQ4 1999</stp>
        <stp>[FA1_j2ahgkxc.xlsx]Bal Sheet - Standardized!R64C7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4" s="3"/>
      </tp>
      <tp>
        <v>-10.121</v>
        <stp/>
        <stp>##V3_BDHV12</stp>
        <stp>AMZN US Equity</stp>
        <stp>IS_INC_BEF_XO_ITEM</stp>
        <stp>FQ1 2003</stp>
        <stp>FQ1 2003</stp>
        <stp>[FA1_j2ahgkxc.xlsx]Income - Adjusted!R22C19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2"/>
      </tp>
      <tp>
        <v>502</v>
        <stp/>
        <stp>##V3_BDHV12</stp>
        <stp>AMZN US Equity</stp>
        <stp>OTHER_NONCUR_LIABS_SUB_DETAILED</stp>
        <stp>FQ3 2008</stp>
        <stp>FQ3 2008</stp>
        <stp>[FA1_j2ahgkxc.xlsx]Bal Sheet - Standardized!R43C41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3" s="3"/>
      </tp>
      <tp>
        <v>292</v>
        <stp/>
        <stp>##V3_BDHV12</stp>
        <stp>AMZN US Equity</stp>
        <stp>OTHER_NONCUR_LIABS_SUB_DETAILED</stp>
        <stp>FQ4 2007</stp>
        <stp>FQ4 2007</stp>
        <stp>[FA1_j2ahgkxc.xlsx]Bal Sheet - Standardized!R43C38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3" s="3"/>
      </tp>
      <tp t="s">
        <v>—</v>
        <stp/>
        <stp>##V3_BDHV12</stp>
        <stp>AMZN US Equity</stp>
        <stp>OTHER_INTANGIBLE_ASSETS_DETAILED</stp>
        <stp>FQ4 1999</stp>
        <stp>FQ4 1999</stp>
        <stp>[FA1_j2ahgkxc.xlsx]Bal Sheet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3"/>
      </tp>
      <tp>
        <v>459.89600000000002</v>
        <stp/>
        <stp>##V3_BDHV12</stp>
        <stp>AMZN US Equity</stp>
        <stp>BS_GROSS_FIX_ASSET</stp>
        <stp>FQ3 2000</stp>
        <stp>FQ3 2000</stp>
        <stp>[FA1_j2ahgkxc.xlsx]Bal Sheet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3"/>
      </tp>
      <tp t="s">
        <v>—</v>
        <stp/>
        <stp>##V3_BDHV12</stp>
        <stp>AMZN US Equity</stp>
        <stp>OTHER_INTANGIBLE_ASSETS_DETAILED</stp>
        <stp>FQ4 1998</stp>
        <stp>FQ4 1998</stp>
        <stp>[FA1_j2ahgkxc.xlsx]Bal Sheet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3"/>
      </tp>
      <tp t="s">
        <v>—</v>
        <stp/>
        <stp>##V3_BDHV12</stp>
        <stp>AMZN US Equity</stp>
        <stp>OTHER_INTANGIBLE_ASSETS_DETAILED</stp>
        <stp>FQ2 1999</stp>
        <stp>FQ2 1999</stp>
        <stp>[FA1_j2ahgkxc.xlsx]Bal Sheet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3"/>
      </tp>
      <tp>
        <v>400.24599999999998</v>
        <stp/>
        <stp>##V3_BDHV12</stp>
        <stp>AMZN US Equity</stp>
        <stp>BS_GROSS_FIX_ASSET</stp>
        <stp>FQ1 2000</stp>
        <stp>FQ1 2000</stp>
        <stp>[FA1_j2ahgkxc.xlsx]Bal Sheet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3"/>
      </tp>
      <tp t="s">
        <v>—</v>
        <stp/>
        <stp>##V3_BDHV12</stp>
        <stp>AMZN US Equity</stp>
        <stp>OTHER_INTANGIBLE_ASSETS_DETAILED</stp>
        <stp>FQ1 1999</stp>
        <stp>FQ1 1999</stp>
        <stp>[FA1_j2ahgkxc.xlsx]Bal Sheet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3"/>
      </tp>
      <tp t="s">
        <v>—</v>
        <stp/>
        <stp>##V3_BDHV12</stp>
        <stp>AMZN US Equity</stp>
        <stp>OTHER_INTANGIBLE_ASSETS_DETAILED</stp>
        <stp>FQ3 1999</stp>
        <stp>FQ3 1999</stp>
        <stp>[FA1_j2ahgkxc.xlsx]Bal Sheet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3"/>
      </tp>
      <tp>
        <v>255</v>
        <stp/>
        <stp>##V3_BDHV12</stp>
        <stp>AMZN US Equity</stp>
        <stp>EBITDA</stp>
        <stp>FQ4 2006</stp>
        <stp>FQ4 2006</stp>
        <stp>[FA1_j2ahgkxc.xlsx]Income - Adjusted!R46C34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6" s="2"/>
      </tp>
      <tp>
        <v>190.423</v>
        <stp/>
        <stp>##V3_BDHV12</stp>
        <stp>AMZN US Equity</stp>
        <stp>EBITDA</stp>
        <stp>FQ4 2004</stp>
        <stp>FQ4 2004</stp>
        <stp>[FA1_j2ahgkxc.xlsx]Income - Adjusted!R46C26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6" s="2"/>
      </tp>
      <tp>
        <v>-4.71</v>
        <stp/>
        <stp>##V3_BDHV12</stp>
        <stp>AMZN US Equity</stp>
        <stp>EBITDA</stp>
        <stp>FQ3 2001</stp>
        <stp>FQ3 2001</stp>
        <stp>[FA1_j2ahgkxc.xlsx]Income - Adjusted!R46C13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6" s="2"/>
      </tp>
      <tp>
        <v>70.269000000000005</v>
        <stp/>
        <stp>##V3_BDHV12</stp>
        <stp>AMZN US Equity</stp>
        <stp>EBITDA</stp>
        <stp>FQ3 2003</stp>
        <stp>FQ3 2003</stp>
        <stp>[FA1_j2ahgkxc.xlsx]Income - Adjusted!R46C21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6" s="2"/>
      </tp>
      <tp>
        <v>207</v>
        <stp/>
        <stp>##V3_BDHV12</stp>
        <stp>AMZN US Equity</stp>
        <stp>EBITDA</stp>
        <stp>FQ1 2007</stp>
        <stp>FQ1 2007</stp>
        <stp>[FA1_j2ahgkxc.xlsx]Income - Adjusted!R46C35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6" s="2"/>
      </tp>
      <tp>
        <v>136</v>
        <stp/>
        <stp>##V3_BDHV12</stp>
        <stp>AMZN US Equity</stp>
        <stp>EBITDA</stp>
        <stp>FQ1 2005</stp>
        <stp>FQ1 2005</stp>
        <stp>[FA1_j2ahgkxc.xlsx]Income - Adjusted!R46C27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6" s="2"/>
      </tp>
      <tp>
        <v>347.88400000000001</v>
        <stp/>
        <stp>##V3_BDHV12</stp>
        <stp>AMZN US Equity</stp>
        <stp>BS_MKT_SEC_OTHER_ST_INVEST</stp>
        <stp>FQ4 1998</stp>
        <stp>FQ4 1998</stp>
        <stp>[FA1_j2ahgkxc.xlsx]Bal Sheet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346.68799999999999</v>
        <stp/>
        <stp>##V3_BDHV12</stp>
        <stp>AMZN US Equity</stp>
        <stp>NET_INCOME</stp>
        <stp>FQ4 2004</stp>
        <stp>FQ4 2004</stp>
        <stp>[FA1_j2ahgkxc.xlsx]Income - Adjusted!R26C26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6" s="2"/>
      </tp>
      <tp>
        <v>98</v>
        <stp/>
        <stp>##V3_BDHV12</stp>
        <stp>AMZN US Equity</stp>
        <stp>NET_INCOME</stp>
        <stp>FQ4 2006</stp>
        <stp>FQ4 2006</stp>
        <stp>[FA1_j2ahgkxc.xlsx]Income - Adjusted!R26C34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6" s="2"/>
      </tp>
      <tp>
        <v>15.563000000000001</v>
        <stp/>
        <stp>##V3_BDHV12</stp>
        <stp>AMZN US Equity</stp>
        <stp>NET_INCOME</stp>
        <stp>FQ3 2003</stp>
        <stp>FQ3 2003</stp>
        <stp>[FA1_j2ahgkxc.xlsx]Income - Adjusted!R26C21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6" s="2"/>
      </tp>
      <tp>
        <v>-169.874</v>
        <stp/>
        <stp>##V3_BDHV12</stp>
        <stp>AMZN US Equity</stp>
        <stp>NET_INCOME</stp>
        <stp>FQ3 2001</stp>
        <stp>FQ3 2001</stp>
        <stp>[FA1_j2ahgkxc.xlsx]Income - Adjusted!R26C13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6" s="2"/>
      </tp>
      <tp>
        <v>78</v>
        <stp/>
        <stp>##V3_BDHV12</stp>
        <stp>AMZN US Equity</stp>
        <stp>NET_INCOME</stp>
        <stp>FQ1 2005</stp>
        <stp>FQ1 2005</stp>
        <stp>[FA1_j2ahgkxc.xlsx]Income - Adjusted!R26C27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6" s="2"/>
      </tp>
      <tp>
        <v>111</v>
        <stp/>
        <stp>##V3_BDHV12</stp>
        <stp>AMZN US Equity</stp>
        <stp>NET_INCOME</stp>
        <stp>FQ1 2007</stp>
        <stp>FQ1 2007</stp>
        <stp>[FA1_j2ahgkxc.xlsx]Income - Adjusted!R26C35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6" s="2"/>
      </tp>
      <tp>
        <v>1341.874</v>
        <stp/>
        <stp>##V3_BDHV12</stp>
        <stp>AMZN US Equity</stp>
        <stp>BS_SH_CAP_AND_APIC</stp>
        <stp>FQ4 2000</stp>
        <stp>FQ4 2000</stp>
        <stp>[FA1_j2ahgkxc.xlsx]Bal Sheet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3"/>
      </tp>
      <tp>
        <v>1466.501</v>
        <stp/>
        <stp>##V3_BDHV12</stp>
        <stp>AMZN US Equity</stp>
        <stp>BS_SH_CAP_AND_APIC</stp>
        <stp>FQ4 2001</stp>
        <stp>FQ4 2001</stp>
        <stp>[FA1_j2ahgkxc.xlsx]Bal Sheet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3"/>
      </tp>
      <tp>
        <v>482.73599999999999</v>
        <stp/>
        <stp>##V3_BDHV12</stp>
        <stp>AMZN US Equity</stp>
        <stp>BS_GROSS_FIX_ASSET</stp>
        <stp>FQ4 2002</stp>
        <stp>FQ4 2002</stp>
        <stp>[FA1_j2ahgkxc.xlsx]Bal Sheet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3"/>
      </tp>
      <tp>
        <v>281</v>
        <stp/>
        <stp>##V3_BDHV12</stp>
        <stp>AMZN US Equity</stp>
        <stp>PRETAX_INC</stp>
        <stp>FQ4 2007</stp>
        <stp>FQ4 2007</stp>
        <stp>[FA1_j2ahgkxc.xlsx]Income - Adjusted!R20C38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0" s="2"/>
      </tp>
      <tp>
        <v>438.14299999999997</v>
        <stp/>
        <stp>##V3_BDHV12</stp>
        <stp>AMZN US Equity</stp>
        <stp>BS_GROSS_FIX_ASSET</stp>
        <stp>FQ4 2001</stp>
        <stp>FQ4 2001</stp>
        <stp>[FA1_j2ahgkxc.xlsx]Bal Sheet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3"/>
      </tp>
      <tp>
        <v>1653.825</v>
        <stp/>
        <stp>##V3_BDHV12</stp>
        <stp>AMZN US Equity</stp>
        <stp>BS_SH_CAP_AND_APIC</stp>
        <stp>FQ4 2002</stp>
        <stp>FQ4 2002</stp>
        <stp>[FA1_j2ahgkxc.xlsx]Bal Sheet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3"/>
      </tp>
      <tp>
        <v>481.26400000000001</v>
        <stp/>
        <stp>##V3_BDHV12</stp>
        <stp>AMZN US Equity</stp>
        <stp>BS_GROSS_FIX_ASSET</stp>
        <stp>FQ4 2000</stp>
        <stp>FQ4 2000</stp>
        <stp>[FA1_j2ahgkxc.xlsx]Bal Sheet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3"/>
      </tp>
      <tp>
        <v>738.93499999999995</v>
        <stp/>
        <stp>##V3_BDHV12</stp>
        <stp>AMZN US Equity</stp>
        <stp>BS_CUR_LIAB</stp>
        <stp>FQ4 1999</stp>
        <stp>FQ4 1999</stp>
        <stp>[FA1_j2ahgkxc.xlsx]Bal Sheet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357.67099999999999</v>
        <stp/>
        <stp>##V3_BDHV12</stp>
        <stp>AMZN US Equity</stp>
        <stp>BS_CUR_LIAB</stp>
        <stp>FQ3 1999</stp>
        <stp>FQ3 1999</stp>
        <stp>[FA1_j2ahgkxc.xlsx]Bal Sheet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201.58500000000001</v>
        <stp/>
        <stp>##V3_BDHV12</stp>
        <stp>AMZN US Equity</stp>
        <stp>BS_CUR_LIAB</stp>
        <stp>FQ1 1999</stp>
        <stp>FQ1 1999</stp>
        <stp>[FA1_j2ahgkxc.xlsx]Bal Sheet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277.94400000000002</v>
        <stp/>
        <stp>##V3_BDHV12</stp>
        <stp>AMZN US Equity</stp>
        <stp>BS_CUR_LIAB</stp>
        <stp>FQ2 1999</stp>
        <stp>FQ2 1999</stp>
        <stp>[FA1_j2ahgkxc.xlsx]Bal Sheet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161.57499999999999</v>
        <stp/>
        <stp>##V3_BDHV12</stp>
        <stp>AMZN US Equity</stp>
        <stp>BS_CUR_LIAB</stp>
        <stp>FQ4 1998</stp>
        <stp>FQ4 1998</stp>
        <stp>[FA1_j2ahgkxc.xlsx]Bal Sheet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362.34399999999999</v>
        <stp/>
        <stp>##V3_BDHV12</stp>
        <stp>AMZN US Equity</stp>
        <stp>IS_OPERATING_EXPN</stp>
        <stp>FQ4 2000</stp>
        <stp>FQ4 2000</stp>
        <stp>[FA1_j2ahgkxc.xlsx]Income - Adjusted!R9C10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>
        <v>398.28899999999999</v>
        <stp/>
        <stp>##V3_BDHV12</stp>
        <stp>AMZN US Equity</stp>
        <stp>CF_CHNG_NON_CASH_WORK_CAP</stp>
        <stp>FQ4 2004</stp>
        <stp>FQ4 2004</stp>
        <stp>[FA1_j2ahgkxc.xlsx]Cash Flow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4"/>
      </tp>
      <tp>
        <v>337.69600000000003</v>
        <stp/>
        <stp>##V3_BDHV12</stp>
        <stp>AMZN US Equity</stp>
        <stp>CF_CHNG_NON_CASH_WORK_CAP</stp>
        <stp>FQ4 2003</stp>
        <stp>FQ4 2003</stp>
        <stp>[FA1_j2ahgkxc.xlsx]Cash Flow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4"/>
      </tp>
      <tp>
        <v>65</v>
        <stp/>
        <stp>##V3_BDHV12</stp>
        <stp>AMZN US Equity</stp>
        <stp>IS_DEPR_EXP</stp>
        <stp>FQ1 2008</stp>
        <stp>FQ1 2008</stp>
        <stp>[FA1_j2ahgkxc.xlsx]Income - Adjusted!R57C39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7" s="2"/>
      </tp>
      <tp>
        <v>135</v>
        <stp/>
        <stp>##V3_BDHV12</stp>
        <stp>AMZN US Equity</stp>
        <stp>CF_CHNG_NON_CASH_WORK_CAP</stp>
        <stp>FQ2 2008</stp>
        <stp>FQ2 2008</stp>
        <stp>[FA1_j2ahgkxc.xlsx]Cash Flow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4"/>
      </tp>
      <tp>
        <v>26.596</v>
        <stp/>
        <stp>##V3_BDHV12</stp>
        <stp>AMZN US Equity</stp>
        <stp>CFF_ACTIVITIES_DETAILED</stp>
        <stp>FQ4 1999</stp>
        <stp>FQ4 1999</stp>
        <stp>[FA1_j2ahgkxc.xlsx]Cash Flow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4"/>
      </tp>
      <tp>
        <v>1140.231</v>
        <stp/>
        <stp>##V3_BDHV12</stp>
        <stp>AMZN US Equity</stp>
        <stp>CFF_ACTIVITIES_DETAILED</stp>
        <stp>FQ1 1999</stp>
        <stp>FQ1 1999</stp>
        <stp>[FA1_j2ahgkxc.xlsx]Cash Flow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4"/>
      </tp>
      <tp>
        <v>83.358999999999995</v>
        <stp/>
        <stp>##V3_BDHV12</stp>
        <stp>AMZN US Equity</stp>
        <stp>OTHER_NON_CASH_ADJ_LESS_DETAILED</stp>
        <stp>FQ4 2002</stp>
        <stp>FQ4 2002</stp>
        <stp>[FA1_j2ahgkxc.xlsx]Cash Flow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4"/>
      </tp>
      <tp t="s">
        <v>—</v>
        <stp/>
        <stp>##V3_BDHV12</stp>
        <stp>AMZN US Equity</stp>
        <stp>SHORT_TERM_DEBT_DETAILED</stp>
        <stp>FQ2 2008</stp>
        <stp>FQ2 2008</stp>
        <stp>[FA1_j2ahgkxc.xlsx]Bal Sheet - Standardized!R35C40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3"/>
      </tp>
      <tp>
        <v>6566</v>
        <stp/>
        <stp>##V3_BDHV12</stp>
        <stp>AMZN US Equity</stp>
        <stp>TOT_LIAB_AND_EQY</stp>
        <stp>FQ3 2008</stp>
        <stp>FQ3 2008</stp>
        <stp>[FA1_j2ahgkxc.xlsx]Bal Sheet - Standardized!R55C41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3"/>
      </tp>
      <tp>
        <v>23.617000000000001</v>
        <stp/>
        <stp>##V3_BDHV12</stp>
        <stp>AMZN US Equity</stp>
        <stp>CFF_ACTIVITIES_DETAILED</stp>
        <stp>FQ3 1999</stp>
        <stp>FQ3 1999</stp>
        <stp>[FA1_j2ahgkxc.xlsx]Cash Flow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4"/>
      </tp>
      <tp>
        <v>-85.884</v>
        <stp/>
        <stp>##V3_BDHV12</stp>
        <stp>AMZN US Equity</stp>
        <stp>CFF_ACTIVITIES_DETAILED</stp>
        <stp>FQ2 1999</stp>
        <stp>FQ2 1999</stp>
        <stp>[FA1_j2ahgkxc.xlsx]Cash Flow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4"/>
      </tp>
      <tp>
        <v>6485</v>
        <stp/>
        <stp>##V3_BDHV12</stp>
        <stp>AMZN US Equity</stp>
        <stp>TOT_LIAB_AND_EQY</stp>
        <stp>FQ4 2007</stp>
        <stp>FQ4 2007</stp>
        <stp>[FA1_j2ahgkxc.xlsx]Bal Sheet - Standardized!R55C38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3"/>
      </tp>
      <tp>
        <v>1.1519999999999999</v>
        <stp/>
        <stp>##V3_BDHV12</stp>
        <stp>AMZN US Equity</stp>
        <stp>SHORT_TERM_DEBT_DETAILED</stp>
        <stp>FQ4 2004</stp>
        <stp>FQ4 2004</stp>
        <stp>[FA1_j2ahgkxc.xlsx]Bal Sheet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3"/>
      </tp>
      <tp>
        <v>4363</v>
        <stp/>
        <stp>##V3_BDHV12</stp>
        <stp>AMZN US Equity</stp>
        <stp>TOT_LIAB_AND_EQY</stp>
        <stp>FQ4 2006</stp>
        <stp>FQ4 2006</stp>
        <stp>[FA1_j2ahgkxc.xlsx]Bal Sheet - Standardized!R55C34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3"/>
      </tp>
      <tp t="s">
        <v>—</v>
        <stp/>
        <stp>##V3_BDHV12</stp>
        <stp>AMZN US Equity</stp>
        <stp>SHORT_TERM_DEBT_DETAILED</stp>
        <stp>FQ4 2003</stp>
        <stp>FQ4 2003</stp>
        <stp>[FA1_j2ahgkxc.xlsx]Bal Sheet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3"/>
      </tp>
      <tp>
        <v>92.075000000000003</v>
        <stp/>
        <stp>##V3_BDHV12</stp>
        <stp>AMZN US Equity</stp>
        <stp>OTHER_NON_CASH_ADJ_LESS_DETAILED</stp>
        <stp>FQ4 2001</stp>
        <stp>FQ4 2001</stp>
        <stp>[FA1_j2ahgkxc.xlsx]Cash Flow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4"/>
      </tp>
      <tp>
        <v>3696</v>
        <stp/>
        <stp>##V3_BDHV12</stp>
        <stp>AMZN US Equity</stp>
        <stp>TOT_LIAB_AND_EQY</stp>
        <stp>FQ4 2005</stp>
        <stp>FQ4 2005</stp>
        <stp>[FA1_j2ahgkxc.xlsx]Bal Sheet - Standardized!R55C30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3"/>
      </tp>
      <tp>
        <v>326.30200000000002</v>
        <stp/>
        <stp>##V3_BDHV12</stp>
        <stp>AMZN US Equity</stp>
        <stp>OTHER_NON_CASH_ADJ_LESS_DETAILED</stp>
        <stp>FQ4 2000</stp>
        <stp>FQ4 2000</stp>
        <stp>[FA1_j2ahgkxc.xlsx]Cash Flow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4"/>
      </tp>
      <tp>
        <v>425</v>
        <stp/>
        <stp>##V3_BDHV12</stp>
        <stp>AMZN US Equity</stp>
        <stp>IS_SH_FOR_DILUTED_EPS</stp>
        <stp>FQ2 2005</stp>
        <stp>FQ2 2005</stp>
        <stp>[FA1_j2ahgkxc.xlsx]Income - Adjusted!R39C28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9" s="2"/>
      </tp>
      <tp>
        <v>-0.01</v>
        <stp/>
        <stp>##V3_BDHV12</stp>
        <stp>AMZN US Equity</stp>
        <stp>IS_BASIC_EPS_CONT_OPS</stp>
        <stp>FQ1 2002</stp>
        <stp>FQ1 2002</stp>
        <stp>[FA1_j2ahgkxc.xlsx]Income - Adjusted!R37C15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7" s="2"/>
      </tp>
      <tp>
        <v>0.12</v>
        <stp/>
        <stp>##V3_BDHV12</stp>
        <stp>AMZN US Equity</stp>
        <stp>IS_BASIC_EPS_CONT_OPS</stp>
        <stp>FQ1 2006</stp>
        <stp>FQ1 2006</stp>
        <stp>[FA1_j2ahgkxc.xlsx]Income - Adjusted!R37C31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7" s="2"/>
      </tp>
      <tp>
        <v>0.24</v>
        <stp/>
        <stp>##V3_BDHV12</stp>
        <stp>AMZN US Equity</stp>
        <stp>IS_BASIC_EPS_CONT_OPS</stp>
        <stp>FQ1 2004</stp>
        <stp>FQ1 2004</stp>
        <stp>[FA1_j2ahgkxc.xlsx]Income - Adjusted!R37C23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7" s="2"/>
      </tp>
      <tp>
        <v>3.6705999999999999</v>
        <stp/>
        <stp>##V3_BDHV12</stp>
        <stp>AMZN US Equity</stp>
        <stp>CASH_FLOW_PER_SH</stp>
        <stp>FQ4 2008</stp>
        <stp>FQ4 2008</stp>
        <stp>[FA1_j2ahgkxc.xlsx]Per Share!R22C42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2" s="5"/>
      </tp>
      <tp>
        <v>0.97099999999999997</v>
        <stp/>
        <stp>##V3_BDHV12</stp>
        <stp>AMZN US Equity</stp>
        <stp>CASH_FLOW_PER_SH</stp>
        <stp>FQ4 2002</stp>
        <stp>FQ4 2002</stp>
        <stp>[FA1_j2ahgkxc.xlsx]Per Share!R22C18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2" s="5"/>
      </tp>
      <tp>
        <v>-0.64800000000000002</v>
        <stp/>
        <stp>##V3_BDHV12</stp>
        <stp>AMZN US Equity</stp>
        <stp>CASH_FLOW_PER_SH</stp>
        <stp>FQ1 2003</stp>
        <stp>FQ1 2003</stp>
        <stp>[FA1_j2ahgkxc.xlsx]Per Share!R22C19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2" s="5"/>
      </tp>
      <tp>
        <v>31.5047</v>
        <stp/>
        <stp>##V3_BDHV12</stp>
        <stp>AMZN US Equity</stp>
        <stp>PX_TO_FREE_CASH_FLOW</stp>
        <stp>FQ3 2008</stp>
        <stp>FQ3 2008</stp>
        <stp>[FA1_j2ahgkxc.xlsx]Cash Flow - Standardized!R53C41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3" s="4"/>
      </tp>
      <tp>
        <v>37.390500000000003</v>
        <stp/>
        <stp>##V3_BDHV12</stp>
        <stp>AMZN US Equity</stp>
        <stp>PX_TO_FREE_CASH_FLOW</stp>
        <stp>FQ2 2008</stp>
        <stp>FQ2 2008</stp>
        <stp>[FA1_j2ahgkxc.xlsx]Cash Flow - Standardized!R53C40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3" s="4"/>
      </tp>
      <tp t="s">
        <v>—</v>
        <stp/>
        <stp>##V3_BDHV12</stp>
        <stp>AMZN US Equity</stp>
        <stp>IS_SG&amp;A_EXPENSE</stp>
        <stp>FQ1 1999</stp>
        <stp>FQ1 1999</stp>
        <stp>[FA1_j2ahgkxc.xlsx]Income - Adjusted!R10C4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 t="s">
        <v>—</v>
        <stp/>
        <stp>##V3_BDHV12</stp>
        <stp>AMZN US Equity</stp>
        <stp>IS_SG&amp;A_EXPENSE</stp>
        <stp>FQ3 1999</stp>
        <stp>FQ3 1999</stp>
        <stp>[FA1_j2ahgkxc.xlsx]Income - Adjusted!R10C6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1478.8815999999999</v>
        <stp/>
        <stp>##V3_BDHV12</stp>
        <stp>AMZN US Equity</stp>
        <stp>CF_FREE_CASH_FLOW_FIRM</stp>
        <stp>FQ4 2008</stp>
        <stp>FQ4 2008</stp>
        <stp>[FA1_j2ahgkxc.xlsx]Cash Flow - Standardized!R50C42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50" s="4"/>
      </tp>
      <tp>
        <v>393.17099999999999</v>
        <stp/>
        <stp>##V3_BDHV12</stp>
        <stp>AMZN US Equity</stp>
        <stp>CF_FREE_CASH_FLOW_FIRM</stp>
        <stp>FQ4 2002</stp>
        <stp>FQ4 2002</stp>
        <stp>[FA1_j2ahgkxc.xlsx]Cash Flow - Standardized!R50C18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50" s="4"/>
      </tp>
      <tp>
        <v>156.364</v>
        <stp/>
        <stp>##V3_BDHV12</stp>
        <stp>AMZN US Equity</stp>
        <stp>EBITDA</stp>
        <stp>FQ4 2003</stp>
        <stp>FQ4 2003</stp>
        <stp>[FA1_j2ahgkxc.xlsx]Cash Flow - Standardized!R45C22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5" s="4"/>
      </tp>
      <tp>
        <v>2.7772999999999999</v>
        <stp/>
        <stp>##V3_BDHV12</stp>
        <stp>AMZN US Equity</stp>
        <stp>BOOK_VAL_PER_SH</stp>
        <stp>FQ4 2007</stp>
        <stp>FQ4 2007</stp>
        <stp>[FA1_j2ahgkxc.xlsx]Per Share!R26C38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6" s="5"/>
      </tp>
      <tp>
        <v>-0.75970000000000004</v>
        <stp/>
        <stp>##V3_BDHV12</stp>
        <stp>AMZN US Equity</stp>
        <stp>FREE_CASH_FLOW_PER_SH</stp>
        <stp>FQ1 2007</stp>
        <stp>FQ1 2007</stp>
        <stp>[FA1_j2ahgkxc.xlsx]Cash Flow - Standardized!R52C35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2" s="4"/>
      </tp>
      <tp>
        <v>0.40579999999999999</v>
        <stp/>
        <stp>##V3_BDHV12</stp>
        <stp>AMZN US Equity</stp>
        <stp>FREE_CASH_FLOW_PER_SH</stp>
        <stp>FQ3 2007</stp>
        <stp>FQ3 2007</stp>
        <stp>[FA1_j2ahgkxc.xlsx]Cash Flow - Standardized!R52C37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2" s="4"/>
      </tp>
      <tp>
        <v>0.61170000000000002</v>
        <stp/>
        <stp>##V3_BDHV12</stp>
        <stp>AMZN US Equity</stp>
        <stp>FREE_CASH_FLOW_PER_SH</stp>
        <stp>FQ2 2007</stp>
        <stp>FQ2 2007</stp>
        <stp>[FA1_j2ahgkxc.xlsx]Cash Flow - Standardized!R52C36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2" s="4"/>
      </tp>
      <tp>
        <v>-0.78049999999999997</v>
        <stp/>
        <stp>##V3_BDHV12</stp>
        <stp>AMZN US Equity</stp>
        <stp>FREE_CASH_FLOW_PER_SH</stp>
        <stp>FQ1 2005</stp>
        <stp>FQ1 2005</stp>
        <stp>[FA1_j2ahgkxc.xlsx]Cash Flow - Standardized!R52C27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2" s="4"/>
      </tp>
      <tp>
        <v>650</v>
        <stp/>
        <stp>##V3_BDHV12</stp>
        <stp>AMZN US Equity</stp>
        <stp>CF_CHNG_NON_CASH_WORK_CAP</stp>
        <stp>FQ4 2006</stp>
        <stp>FQ4 2006</stp>
        <stp>[FA1_j2ahgkxc.xlsx]Cash Flow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4"/>
      </tp>
      <tp>
        <v>335</v>
        <stp/>
        <stp>##V3_BDHV12</stp>
        <stp>AMZN US Equity</stp>
        <stp>CF_CHNG_NON_CASH_WORK_CAP</stp>
        <stp>FQ4 2005</stp>
        <stp>FQ4 2005</stp>
        <stp>[FA1_j2ahgkxc.xlsx]Cash Flow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4"/>
      </tp>
      <tp t="s">
        <v>—</v>
        <stp/>
        <stp>##V3_BDHV12</stp>
        <stp>AMZN US Equity</stp>
        <stp>IS_DEPR_EXP</stp>
        <stp>FQ4 1998</stp>
        <stp>FQ4 1998</stp>
        <stp>[FA1_j2ahgkxc.xlsx]Income - Adjusted!R57C3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7" s="2"/>
      </tp>
      <tp t="s">
        <v>—</v>
        <stp/>
        <stp>##V3_BDHV12</stp>
        <stp>AMZN US Equity</stp>
        <stp>IS_DEPR_EXP</stp>
        <stp>FQ4 1999</stp>
        <stp>FQ4 1999</stp>
        <stp>[FA1_j2ahgkxc.xlsx]Income - Adjusted!R57C7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7" s="2"/>
      </tp>
      <tp>
        <v>1083</v>
        <stp/>
        <stp>##V3_BDHV12</stp>
        <stp>AMZN US Equity</stp>
        <stp>CF_CHNG_NON_CASH_WORK_CAP</stp>
        <stp>FQ4 2007</stp>
        <stp>FQ4 2007</stp>
        <stp>[FA1_j2ahgkxc.xlsx]Cash Flow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4"/>
      </tp>
      <tp>
        <v>246</v>
        <stp/>
        <stp>##V3_BDHV12</stp>
        <stp>AMZN US Equity</stp>
        <stp>CF_CHNG_NON_CASH_WORK_CAP</stp>
        <stp>FQ3 2008</stp>
        <stp>FQ3 2008</stp>
        <stp>[FA1_j2ahgkxc.xlsx]Cash Flow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4"/>
      </tp>
      <tp>
        <v>17</v>
        <stp/>
        <stp>##V3_BDHV12</stp>
        <stp>AMZN US Equity</stp>
        <stp>SHORT_TERM_DEBT_DETAILED</stp>
        <stp>FQ4 2007</stp>
        <stp>FQ4 2007</stp>
        <stp>[FA1_j2ahgkxc.xlsx]Bal Sheet - Standardized!R35C38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3"/>
      </tp>
      <tp t="s">
        <v>—</v>
        <stp/>
        <stp>##V3_BDHV12</stp>
        <stp>AMZN US Equity</stp>
        <stp>SHORT_TERM_DEBT_DETAILED</stp>
        <stp>FQ3 2008</stp>
        <stp>FQ3 2008</stp>
        <stp>[FA1_j2ahgkxc.xlsx]Bal Sheet - Standardized!R35C41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3"/>
      </tp>
      <tp>
        <v>6322</v>
        <stp/>
        <stp>##V3_BDHV12</stp>
        <stp>AMZN US Equity</stp>
        <stp>TOT_LIAB_AND_EQY</stp>
        <stp>FQ2 2008</stp>
        <stp>FQ2 2008</stp>
        <stp>[FA1_j2ahgkxc.xlsx]Bal Sheet - Standardized!R55C40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3"/>
      </tp>
      <tp>
        <v>2162.0329999999999</v>
        <stp/>
        <stp>##V3_BDHV12</stp>
        <stp>AMZN US Equity</stp>
        <stp>TOT_LIAB_AND_EQY</stp>
        <stp>FQ4 2003</stp>
        <stp>FQ4 2003</stp>
        <stp>[FA1_j2ahgkxc.xlsx]Bal Sheet - Standardized!R55C22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3"/>
      </tp>
      <tp>
        <v>16</v>
        <stp/>
        <stp>##V3_BDHV12</stp>
        <stp>AMZN US Equity</stp>
        <stp>SHORT_TERM_DEBT_DETAILED</stp>
        <stp>FQ4 2006</stp>
        <stp>FQ4 2006</stp>
        <stp>[FA1_j2ahgkxc.xlsx]Bal Sheet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3"/>
      </tp>
      <tp>
        <v>3248.5081</v>
        <stp/>
        <stp>##V3_BDHV12</stp>
        <stp>AMZN US Equity</stp>
        <stp>TOT_LIAB_AND_EQY</stp>
        <stp>FQ4 2004</stp>
        <stp>FQ4 2004</stp>
        <stp>[FA1_j2ahgkxc.xlsx]Bal Sheet - Standardized!R55C26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3"/>
      </tp>
      <tp>
        <v>0</v>
        <stp/>
        <stp>##V3_BDHV12</stp>
        <stp>AMZN US Equity</stp>
        <stp>EQY_DPS</stp>
        <stp>FQ1 2003</stp>
        <stp>FQ1 2003</stp>
        <stp>[FA1_j2ahgkxc.xlsx]Income - Adjusted!R54C19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4" s="2"/>
      </tp>
      <tp>
        <v>0</v>
        <stp/>
        <stp>##V3_BDHV12</stp>
        <stp>AMZN US Equity</stp>
        <stp>EQY_DPS</stp>
        <stp>FQ4 2002</stp>
        <stp>FQ4 2002</stp>
        <stp>[FA1_j2ahgkxc.xlsx]Income - Adjusted!R54C18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4" s="2"/>
      </tp>
      <tp>
        <v>0</v>
        <stp/>
        <stp>##V3_BDHV12</stp>
        <stp>AMZN US Equity</stp>
        <stp>EQY_DPS</stp>
        <stp>FQ4 2008</stp>
        <stp>FQ4 2008</stp>
        <stp>[FA1_j2ahgkxc.xlsx]Income - Adjusted!R54C42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4" s="2"/>
      </tp>
      <tp>
        <v>3</v>
        <stp/>
        <stp>##V3_BDHV12</stp>
        <stp>AMZN US Equity</stp>
        <stp>SHORT_TERM_DEBT_DETAILED</stp>
        <stp>FQ4 2005</stp>
        <stp>FQ4 2005</stp>
        <stp>[FA1_j2ahgkxc.xlsx]Bal Sheet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3"/>
      </tp>
      <tp>
        <v>428</v>
        <stp/>
        <stp>##V3_BDHV12</stp>
        <stp>AMZN US Equity</stp>
        <stp>IS_SH_FOR_DILUTED_EPS</stp>
        <stp>FQ3 2005</stp>
        <stp>FQ3 2005</stp>
        <stp>[FA1_j2ahgkxc.xlsx]Income - Adjusted!R39C29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9" s="2"/>
      </tp>
      <tp>
        <v>0</v>
        <stp/>
        <stp>##V3_BDHV12</stp>
        <stp>AMZN US Equity</stp>
        <stp>DISP_FXD_&amp;_INTANGIBLES_DETAILED</stp>
        <stp>FQ4 2000</stp>
        <stp>FQ4 2000</stp>
        <stp>[FA1_j2ahgkxc.xlsx]Cash Flow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4"/>
      </tp>
      <tp>
        <v>0</v>
        <stp/>
        <stp>##V3_BDHV12</stp>
        <stp>AMZN US Equity</stp>
        <stp>DISP_FXD_&amp;_INTANGIBLES_DETAILED</stp>
        <stp>FQ4 2001</stp>
        <stp>FQ4 2001</stp>
        <stp>[FA1_j2ahgkxc.xlsx]Cash Flow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4"/>
      </tp>
      <tp>
        <v>0</v>
        <stp/>
        <stp>##V3_BDHV12</stp>
        <stp>AMZN US Equity</stp>
        <stp>DISP_FXD_&amp;_INTANGIBLES_DETAILED</stp>
        <stp>FQ4 2002</stp>
        <stp>FQ4 2002</stp>
        <stp>[FA1_j2ahgkxc.xlsx]Cash Flow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4"/>
      </tp>
      <tp>
        <v>32.570700000000002</v>
        <stp/>
        <stp>##V3_BDHV12</stp>
        <stp>AMZN US Equity</stp>
        <stp>PX_TO_FREE_CASH_FLOW</stp>
        <stp>FQ4 2007</stp>
        <stp>FQ4 2007</stp>
        <stp>[FA1_j2ahgkxc.xlsx]Cash Flow - Standardized!R53C38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3" s="4"/>
      </tp>
      <tp>
        <v>79.086200000000005</v>
        <stp/>
        <stp>##V3_BDHV12</stp>
        <stp>AMZN US Equity</stp>
        <stp>PX_TO_FREE_CASH_FLOW</stp>
        <stp>FQ1 2003</stp>
        <stp>FQ1 2003</stp>
        <stp>[FA1_j2ahgkxc.xlsx]Cash Flow - Standardized!R53C19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3" s="4"/>
      </tp>
      <tp>
        <v>208.5926</v>
        <stp/>
        <stp>##V3_BDHV12</stp>
        <stp>AMZN US Equity</stp>
        <stp>CF_FREE_CASH_FLOW_FIRM</stp>
        <stp>FQ2 2005</stp>
        <stp>FQ2 2005</stp>
        <stp>[FA1_j2ahgkxc.xlsx]Cash Flow - Standardized!R50C28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50" s="4"/>
      </tp>
      <tp>
        <v>89.941199999999995</v>
        <stp/>
        <stp>##V3_BDHV12</stp>
        <stp>AMZN US Equity</stp>
        <stp>CF_FREE_CASH_FLOW_FIRM</stp>
        <stp>FQ3 2005</stp>
        <stp>FQ3 2005</stp>
        <stp>[FA1_j2ahgkxc.xlsx]Cash Flow - Standardized!R50C29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50" s="4"/>
      </tp>
      <tp>
        <v>-62.002000000000002</v>
        <stp/>
        <stp>##V3_BDHV12</stp>
        <stp>AMZN US Equity</stp>
        <stp>EBITDA</stp>
        <stp>FQ4 2000</stp>
        <stp>FQ4 2000</stp>
        <stp>[FA1_j2ahgkxc.xlsx]Cash Flow - Standardized!R45C10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5" s="4"/>
      </tp>
      <tp>
        <v>0</v>
        <stp/>
        <stp>##V3_BDHV12</stp>
        <stp>AMZN US Equity</stp>
        <stp>EQY_DPS</stp>
        <stp>FQ4 1999</stp>
        <stp>FQ4 1999</stp>
        <stp>[FA1_j2ahgkxc.xlsx]Income - Adjusted!R54C7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4" s="2"/>
      </tp>
      <tp>
        <v>0.318</v>
        <stp/>
        <stp>##V3_BDHV12</stp>
        <stp>AMZN US Equity</stp>
        <stp>FREE_CASH_FLOW_PER_SH</stp>
        <stp>FQ2 2004</stp>
        <stp>FQ2 2004</stp>
        <stp>[FA1_j2ahgkxc.xlsx]Cash Flow - Standardized!R52C24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2" s="4"/>
      </tp>
      <tp>
        <v>0.2162</v>
        <stp/>
        <stp>##V3_BDHV12</stp>
        <stp>AMZN US Equity</stp>
        <stp>FREE_CASH_FLOW_PER_SH</stp>
        <stp>FQ3 2004</stp>
        <stp>FQ3 2004</stp>
        <stp>[FA1_j2ahgkxc.xlsx]Cash Flow - Standardized!R52C25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2" s="4"/>
      </tp>
      <tp>
        <v>86</v>
        <stp/>
        <stp>##V3_BDHV12</stp>
        <stp>AMZN US Equity</stp>
        <stp>IS_DEPR_EXP</stp>
        <stp>FQ4 2008</stp>
        <stp>FQ4 2008</stp>
        <stp>[FA1_j2ahgkxc.xlsx]Income - Adjusted!R57C42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7" s="2"/>
      </tp>
      <tp>
        <v>1</v>
        <stp/>
        <stp>##V3_BDHV12</stp>
        <stp>AMZN US Equity</stp>
        <stp>OTHER_NON_CASH_ADJ_LESS_DETAILED</stp>
        <stp>FQ3 2008</stp>
        <stp>FQ3 2008</stp>
        <stp>[FA1_j2ahgkxc.xlsx]Cash Flow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4"/>
      </tp>
      <tp>
        <v>2</v>
        <stp/>
        <stp>##V3_BDHV12</stp>
        <stp>AMZN US Equity</stp>
        <stp>OTHER_NON_CASH_ADJ_LESS_DETAILED</stp>
        <stp>FQ4 2007</stp>
        <stp>FQ4 2007</stp>
        <stp>[FA1_j2ahgkxc.xlsx]Cash Flow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4"/>
      </tp>
      <tp>
        <v>1990.4490000000001</v>
        <stp/>
        <stp>##V3_BDHV12</stp>
        <stp>AMZN US Equity</stp>
        <stp>TOT_LIAB_AND_EQY</stp>
        <stp>FQ4 2002</stp>
        <stp>FQ4 2002</stp>
        <stp>[FA1_j2ahgkxc.xlsx]Bal Sheet - Standardized!R55C18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3"/>
      </tp>
      <tp>
        <v>2135.1691000000001</v>
        <stp/>
        <stp>##V3_BDHV12</stp>
        <stp>AMZN US Equity</stp>
        <stp>TOT_LIAB_AND_EQY</stp>
        <stp>FQ4 2000</stp>
        <stp>FQ4 2000</stp>
        <stp>[FA1_j2ahgkxc.xlsx]Bal Sheet - Standardized!R55C10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3"/>
      </tp>
      <tp>
        <v>0</v>
        <stp/>
        <stp>##V3_BDHV12</stp>
        <stp>AMZN US Equity</stp>
        <stp>EQY_DPS</stp>
        <stp>FQ3 2008</stp>
        <stp>FQ3 2008</stp>
        <stp>[FA1_j2ahgkxc.xlsx]Income - Adjusted!R54C41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4" s="2"/>
      </tp>
      <tp>
        <v>106</v>
        <stp/>
        <stp>##V3_BDHV12</stp>
        <stp>AMZN US Equity</stp>
        <stp>OTHER_NON_CASH_ADJ_LESS_DETAILED</stp>
        <stp>FQ4 2005</stp>
        <stp>FQ4 2005</stp>
        <stp>[FA1_j2ahgkxc.xlsx]Cash Flow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4"/>
      </tp>
      <tp>
        <v>-69</v>
        <stp/>
        <stp>##V3_BDHV12</stp>
        <stp>AMZN US Equity</stp>
        <stp>OTHER_NON_CASH_ADJ_LESS_DETAILED</stp>
        <stp>FQ4 2006</stp>
        <stp>FQ4 2006</stp>
        <stp>[FA1_j2ahgkxc.xlsx]Cash Flow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4"/>
      </tp>
      <tp>
        <v>1637.5471</v>
        <stp/>
        <stp>##V3_BDHV12</stp>
        <stp>AMZN US Equity</stp>
        <stp>TOT_LIAB_AND_EQY</stp>
        <stp>FQ4 2001</stp>
        <stp>FQ4 2001</stp>
        <stp>[FA1_j2ahgkxc.xlsx]Bal Sheet - Standardized!R55C14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3"/>
      </tp>
      <tp>
        <v>0</v>
        <stp/>
        <stp>##V3_BDHV12</stp>
        <stp>AMZN US Equity</stp>
        <stp>DISP_FXD_&amp;_INTANGIBLES_DETAILED</stp>
        <stp>FQ4 2003</stp>
        <stp>FQ4 2003</stp>
        <stp>[FA1_j2ahgkxc.xlsx]Cash Flow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4"/>
      </tp>
      <tp>
        <v>427</v>
        <stp/>
        <stp>##V3_BDHV12</stp>
        <stp>AMZN US Equity</stp>
        <stp>IS_SH_FOR_DILUTED_EPS</stp>
        <stp>FQ4 2007</stp>
        <stp>FQ4 2007</stp>
        <stp>[FA1_j2ahgkxc.xlsx]Income - Adjusted!R39C38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9" s="2"/>
      </tp>
      <tp>
        <v>0</v>
        <stp/>
        <stp>##V3_BDHV12</stp>
        <stp>AMZN US Equity</stp>
        <stp>IS_BASIC_EPS_CONT_OPS</stp>
        <stp>FQ3 2002</stp>
        <stp>FQ3 2002</stp>
        <stp>[FA1_j2ahgkxc.xlsx]Income - Adjusted!R37C17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7" s="2"/>
      </tp>
      <tp>
        <v>0.05</v>
        <stp/>
        <stp>##V3_BDHV12</stp>
        <stp>AMZN US Equity</stp>
        <stp>IS_BASIC_EPS_CONT_OPS</stp>
        <stp>FQ3 2006</stp>
        <stp>FQ3 2006</stp>
        <stp>[FA1_j2ahgkxc.xlsx]Income - Adjusted!R37C33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7" s="2"/>
      </tp>
      <tp>
        <v>0.26</v>
        <stp/>
        <stp>##V3_BDHV12</stp>
        <stp>AMZN US Equity</stp>
        <stp>IS_BASIC_EPS_CONT_OPS</stp>
        <stp>FQ4 2005</stp>
        <stp>FQ4 2005</stp>
        <stp>[FA1_j2ahgkxc.xlsx]Income - Adjusted!R37C30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7" s="2"/>
      </tp>
      <tp>
        <v>0.09</v>
        <stp/>
        <stp>##V3_BDHV12</stp>
        <stp>AMZN US Equity</stp>
        <stp>IS_BASIC_EPS_CONT_OPS</stp>
        <stp>FQ4 2001</stp>
        <stp>FQ4 2001</stp>
        <stp>[FA1_j2ahgkxc.xlsx]Income - Adjusted!R37C14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7" s="2"/>
      </tp>
      <tp>
        <v>0</v>
        <stp/>
        <stp>##V3_BDHV12</stp>
        <stp>AMZN US Equity</stp>
        <stp>DISP_FXD_&amp;_INTANGIBLES_DETAILED</stp>
        <stp>FQ4 2004</stp>
        <stp>FQ4 2004</stp>
        <stp>[FA1_j2ahgkxc.xlsx]Cash Flow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4"/>
      </tp>
      <tp>
        <v>0.82620000000000005</v>
        <stp/>
        <stp>##V3_BDHV12</stp>
        <stp>AMZN US Equity</stp>
        <stp>CASH_FLOW_PER_SH</stp>
        <stp>FQ2 2008</stp>
        <stp>FQ2 2008</stp>
        <stp>[FA1_j2ahgkxc.xlsx]Per Share!R22C40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2" s="5"/>
      </tp>
      <tp>
        <v>0</v>
        <stp/>
        <stp>##V3_BDHV12</stp>
        <stp>AMZN US Equity</stp>
        <stp>DISP_FXD_&amp;_INTANGIBLES_DETAILED</stp>
        <stp>FQ2 2008</stp>
        <stp>FQ2 2008</stp>
        <stp>[FA1_j2ahgkxc.xlsx]Cash Flow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4"/>
      </tp>
      <tp t="s">
        <v>—</v>
        <stp/>
        <stp>##V3_BDHV12</stp>
        <stp>AMZN US Equity</stp>
        <stp>IS_SG&amp;A_EXPENSE</stp>
        <stp>FQ2 1999</stp>
        <stp>FQ2 1999</stp>
        <stp>[FA1_j2ahgkxc.xlsx]Income - Adjusted!R10C5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 t="s">
        <v>—</v>
        <stp/>
        <stp>##V3_BDHV12</stp>
        <stp>AMZN US Equity</stp>
        <stp>BS_OPTIONS_GRANTED</stp>
        <stp>FQ3 2008</stp>
        <stp>FQ3 2008</stp>
        <stp>[FA1_j2ahgkxc.xlsx]Bal Sheet - Standardized!R63C41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3" s="3"/>
      </tp>
      <tp t="s">
        <v>—</v>
        <stp/>
        <stp>##V3_BDHV12</stp>
        <stp>AMZN US Equity</stp>
        <stp>BS_OPTIONS_GRANTED</stp>
        <stp>FQ2 2008</stp>
        <stp>FQ2 2008</stp>
        <stp>[FA1_j2ahgkxc.xlsx]Bal Sheet - Standardized!R63C40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3" s="3"/>
      </tp>
      <tp>
        <v>2769</v>
        <stp/>
        <stp>##V3_BDHV12</stp>
        <stp>AMZN US Equity</stp>
        <stp>BS_CASH_NEAR_CASH_ITEM</stp>
        <stp>FQ4 2008</stp>
        <stp>FQ4 2008</stp>
        <stp>[FA1_j2ahgkxc.xlsx]Bal Sheet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3"/>
      </tp>
      <tp>
        <v>1650</v>
        <stp/>
        <stp>##V3_BDHV12</stp>
        <stp>AMZN US Equity</stp>
        <stp>BS_CASH_NEAR_CASH_ITEM</stp>
        <stp>FQ3 2008</stp>
        <stp>FQ3 2008</stp>
        <stp>[FA1_j2ahgkxc.xlsx]Bal Sheet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3"/>
      </tp>
      <tp>
        <v>1548</v>
        <stp/>
        <stp>##V3_BDHV12</stp>
        <stp>AMZN US Equity</stp>
        <stp>BS_CASH_NEAR_CASH_ITEM</stp>
        <stp>FQ2 2008</stp>
        <stp>FQ2 2008</stp>
        <stp>[FA1_j2ahgkxc.xlsx]Bal Sheet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3"/>
      </tp>
      <tp>
        <v>0.30180000000000001</v>
        <stp/>
        <stp>##V3_BDHV12</stp>
        <stp>AMZN US Equity</stp>
        <stp>FREE_CASH_FLOW_PER_SH</stp>
        <stp>FQ2 2003</stp>
        <stp>FQ2 2003</stp>
        <stp>[FA1_j2ahgkxc.xlsx]Cash Flow - Standardized!R52C20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2" s="4"/>
      </tp>
      <tp>
        <v>5.4300000000000001E-2</v>
        <stp/>
        <stp>##V3_BDHV12</stp>
        <stp>AMZN US Equity</stp>
        <stp>FREE_CASH_FLOW_PER_SH</stp>
        <stp>FQ3 2003</stp>
        <stp>FQ3 2003</stp>
        <stp>[FA1_j2ahgkxc.xlsx]Cash Flow - Standardized!R52C21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2" s="4"/>
      </tp>
      <tp>
        <v>-0.15529999999999999</v>
        <stp/>
        <stp>##V3_BDHV12</stp>
        <stp>AMZN US Equity</stp>
        <stp>BOOK_VAL_PER_SH</stp>
        <stp>FQ2 2005</stp>
        <stp>FQ2 2005</stp>
        <stp>[FA1_j2ahgkxc.xlsx]Per Share!R26C28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6" s="5"/>
      </tp>
      <tp>
        <v>0.91969999999999996</v>
        <stp/>
        <stp>##V3_BDHV12</stp>
        <stp>AMZN US Equity</stp>
        <stp>FREE_CASH_FLOW_PER_SH</stp>
        <stp>FQ4 2001</stp>
        <stp>FQ4 2001</stp>
        <stp>[FA1_j2ahgkxc.xlsx]Cash Flow - Standardized!R52C14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2" s="4"/>
      </tp>
      <tp>
        <v>-0.21010000000000001</v>
        <stp/>
        <stp>##V3_BDHV12</stp>
        <stp>AMZN US Equity</stp>
        <stp>FREE_CASH_FLOW_PER_SH</stp>
        <stp>FQ3 2001</stp>
        <stp>FQ3 2001</stp>
        <stp>[FA1_j2ahgkxc.xlsx]Cash Flow - Standardized!R52C13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2" s="4"/>
      </tp>
      <tp>
        <v>-2.2100000000000002E-2</v>
        <stp/>
        <stp>##V3_BDHV12</stp>
        <stp>AMZN US Equity</stp>
        <stp>FREE_CASH_FLOW_PER_SH</stp>
        <stp>FQ2 2001</stp>
        <stp>FQ2 2001</stp>
        <stp>[FA1_j2ahgkxc.xlsx]Cash Flow - Standardized!R52C12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2" s="4"/>
      </tp>
      <tp>
        <v>-1.1930000000000001</v>
        <stp/>
        <stp>##V3_BDHV12</stp>
        <stp>AMZN US Equity</stp>
        <stp>FREE_CASH_FLOW_PER_SH</stp>
        <stp>FQ1 2001</stp>
        <stp>FQ1 2001</stp>
        <stp>[FA1_j2ahgkxc.xlsx]Cash Flow - Standardized!R52C11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2" s="4"/>
      </tp>
      <tp>
        <v>1.3831</v>
        <stp/>
        <stp>##V3_BDHV12</stp>
        <stp>AMZN US Equity</stp>
        <stp>FREE_CASH_FLOW_PER_SH</stp>
        <stp>FQ4 2005</stp>
        <stp>FQ4 2005</stp>
        <stp>[FA1_j2ahgkxc.xlsx]Cash Flow - Standardized!R52C30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2" s="4"/>
      </tp>
      <tp>
        <v>406.755</v>
        <stp/>
        <stp>##V3_BDHV12</stp>
        <stp>AMZN US Equity</stp>
        <stp>CF_CHNG_NON_CASH_WORK_CAP</stp>
        <stp>FQ4 2000</stp>
        <stp>FQ4 2000</stp>
        <stp>[FA1_j2ahgkxc.xlsx]Cash Flow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4"/>
      </tp>
      <tp>
        <v>193.374</v>
        <stp/>
        <stp>##V3_BDHV12</stp>
        <stp>AMZN US Equity</stp>
        <stp>CF_CHNG_NON_CASH_WORK_CAP</stp>
        <stp>FQ4 2001</stp>
        <stp>FQ4 2001</stp>
        <stp>[FA1_j2ahgkxc.xlsx]Cash Flow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4"/>
      </tp>
      <tp>
        <v>265.79300000000001</v>
        <stp/>
        <stp>##V3_BDHV12</stp>
        <stp>AMZN US Equity</stp>
        <stp>CF_CHNG_NON_CASH_WORK_CAP</stp>
        <stp>FQ4 2002</stp>
        <stp>FQ4 2002</stp>
        <stp>[FA1_j2ahgkxc.xlsx]Cash Flow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4"/>
      </tp>
      <tp>
        <v>-6</v>
        <stp/>
        <stp>##V3_BDHV12</stp>
        <stp>AMZN US Equity</stp>
        <stp>OTHER_NON_CASH_ADJ_LESS_DETAILED</stp>
        <stp>FQ2 2008</stp>
        <stp>FQ2 2008</stp>
        <stp>[FA1_j2ahgkxc.xlsx]Cash Flow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4"/>
      </tp>
      <tp t="s">
        <v>—</v>
        <stp/>
        <stp>##V3_BDHV12</stp>
        <stp>AMZN US Equity</stp>
        <stp>SHORT_TERM_DEBT_DETAILED</stp>
        <stp>FQ4 2002</stp>
        <stp>FQ4 2002</stp>
        <stp>[FA1_j2ahgkxc.xlsx]Bal Sheet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3"/>
      </tp>
      <tp>
        <v>0</v>
        <stp/>
        <stp>##V3_BDHV12</stp>
        <stp>AMZN US Equity</stp>
        <stp>EQY_DPS</stp>
        <stp>FQ2 2008</stp>
        <stp>FQ2 2008</stp>
        <stp>[FA1_j2ahgkxc.xlsx]Income - Adjusted!R54C40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4" s="2"/>
      </tp>
      <tp t="s">
        <v>—</v>
        <stp/>
        <stp>##V3_BDHV12</stp>
        <stp>AMZN US Equity</stp>
        <stp>SHORT_TERM_DEBT_DETAILED</stp>
        <stp>FQ4 2000</stp>
        <stp>FQ4 2000</stp>
        <stp>[FA1_j2ahgkxc.xlsx]Bal Sheet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3"/>
      </tp>
      <tp>
        <v>-208.24100000000001</v>
        <stp/>
        <stp>##V3_BDHV12</stp>
        <stp>AMZN US Equity</stp>
        <stp>OTHER_NON_CASH_ADJ_LESS_DETAILED</stp>
        <stp>FQ4 2004</stp>
        <stp>FQ4 2004</stp>
        <stp>[FA1_j2ahgkxc.xlsx]Cash Flow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4"/>
      </tp>
      <tp t="s">
        <v>—</v>
        <stp/>
        <stp>##V3_BDHV12</stp>
        <stp>AMZN US Equity</stp>
        <stp>SHORT_TERM_DEBT_DETAILED</stp>
        <stp>FQ4 2001</stp>
        <stp>FQ4 2001</stp>
        <stp>[FA1_j2ahgkxc.xlsx]Bal Sheet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3"/>
      </tp>
      <tp>
        <v>51.505000000000003</v>
        <stp/>
        <stp>##V3_BDHV12</stp>
        <stp>AMZN US Equity</stp>
        <stp>OTHER_NON_CASH_ADJ_LESS_DETAILED</stp>
        <stp>FQ4 2003</stp>
        <stp>FQ4 2003</stp>
        <stp>[FA1_j2ahgkxc.xlsx]Cash Flow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4"/>
      </tp>
      <tp>
        <v>-0.01</v>
        <stp/>
        <stp>##V3_BDHV12</stp>
        <stp>AMZN US Equity</stp>
        <stp>IS_BASIC_EPS_CONT_OPS</stp>
        <stp>FQ2 2002</stp>
        <stp>FQ2 2002</stp>
        <stp>[FA1_j2ahgkxc.xlsx]Income - Adjusted!R37C16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7" s="2"/>
      </tp>
      <tp>
        <v>0.05</v>
        <stp/>
        <stp>##V3_BDHV12</stp>
        <stp>AMZN US Equity</stp>
        <stp>IS_BASIC_EPS_CONT_OPS</stp>
        <stp>FQ2 2006</stp>
        <stp>FQ2 2006</stp>
        <stp>[FA1_j2ahgkxc.xlsx]Income - Adjusted!R37C32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7" s="2"/>
      </tp>
      <tp>
        <v>0</v>
        <stp/>
        <stp>##V3_BDHV12</stp>
        <stp>AMZN US Equity</stp>
        <stp>DISP_FXD_&amp;_INTANGIBLES_DETAILED</stp>
        <stp>FQ4 2006</stp>
        <stp>FQ4 2006</stp>
        <stp>[FA1_j2ahgkxc.xlsx]Cash Flow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4"/>
      </tp>
      <tp>
        <v>0</v>
        <stp/>
        <stp>##V3_BDHV12</stp>
        <stp>AMZN US Equity</stp>
        <stp>DISP_FXD_&amp;_INTANGIBLES_DETAILED</stp>
        <stp>FQ4 2005</stp>
        <stp>FQ4 2005</stp>
        <stp>[FA1_j2ahgkxc.xlsx]Cash Flow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4"/>
      </tp>
      <tp>
        <v>0.99299999999999999</v>
        <stp/>
        <stp>##V3_BDHV12</stp>
        <stp>AMZN US Equity</stp>
        <stp>CASH_FLOW_PER_SH</stp>
        <stp>FQ3 2008</stp>
        <stp>FQ3 2008</stp>
        <stp>[FA1_j2ahgkxc.xlsx]Per Share!R22C41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2" s="5"/>
      </tp>
      <tp>
        <v>0</v>
        <stp/>
        <stp>##V3_BDHV12</stp>
        <stp>AMZN US Equity</stp>
        <stp>DISP_FXD_&amp;_INTANGIBLES_DETAILED</stp>
        <stp>FQ4 2007</stp>
        <stp>FQ4 2007</stp>
        <stp>[FA1_j2ahgkxc.xlsx]Cash Flow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4"/>
      </tp>
      <tp>
        <v>0</v>
        <stp/>
        <stp>##V3_BDHV12</stp>
        <stp>AMZN US Equity</stp>
        <stp>DISP_FXD_&amp;_INTANGIBLES_DETAILED</stp>
        <stp>FQ3 2008</stp>
        <stp>FQ3 2008</stp>
        <stp>[FA1_j2ahgkxc.xlsx]Cash Flow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4"/>
      </tp>
      <tp t="s">
        <v>—</v>
        <stp/>
        <stp>##V3_BDHV12</stp>
        <stp>AMZN US Equity</stp>
        <stp>IS_SG&amp;A_EXPENSE</stp>
        <stp>FQ4 1998</stp>
        <stp>FQ4 1998</stp>
        <stp>[FA1_j2ahgkxc.xlsx]Income - Adjusted!R10C3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 t="s">
        <v>—</v>
        <stp/>
        <stp>##V3_BDHV12</stp>
        <stp>AMZN US Equity</stp>
        <stp>BS_OPTIONS_GRANTED</stp>
        <stp>FQ1 2003</stp>
        <stp>FQ1 2003</stp>
        <stp>[FA1_j2ahgkxc.xlsx]Bal Sheet - Standardized!R63C19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3" s="3"/>
      </tp>
      <tp t="s">
        <v>—</v>
        <stp/>
        <stp>##V3_BDHV12</stp>
        <stp>AMZN US Equity</stp>
        <stp>BS_OPTIONS_GRANTED</stp>
        <stp>FQ4 2007</stp>
        <stp>FQ4 2007</stp>
        <stp>[FA1_j2ahgkxc.xlsx]Bal Sheet - Standardized!R63C38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3" s="3"/>
      </tp>
      <tp>
        <v>23.815999999999999</v>
        <stp/>
        <stp>##V3_BDHV12</stp>
        <stp>AMZN US Equity</stp>
        <stp>EBITDA</stp>
        <stp>FQ2 2002</stp>
        <stp>FQ2 2002</stp>
        <stp>[FA1_j2ahgkxc.xlsx]Cash Flow - Standardized!R45C16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5" s="4"/>
      </tp>
      <tp>
        <v>48.825000000000003</v>
        <stp/>
        <stp>##V3_BDHV12</stp>
        <stp>AMZN US Equity</stp>
        <stp>EBITDA</stp>
        <stp>FQ3 2002</stp>
        <stp>FQ3 2002</stp>
        <stp>[FA1_j2ahgkxc.xlsx]Cash Flow - Standardized!R45C17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5" s="4"/>
      </tp>
      <tp>
        <v>34.658000000000001</v>
        <stp/>
        <stp>##V3_BDHV12</stp>
        <stp>AMZN US Equity</stp>
        <stp>EBITDA</stp>
        <stp>FQ1 2002</stp>
        <stp>FQ1 2002</stp>
        <stp>[FA1_j2ahgkxc.xlsx]Cash Flow - Standardized!R45C15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5" s="4"/>
      </tp>
      <tp>
        <v>255</v>
        <stp/>
        <stp>##V3_BDHV12</stp>
        <stp>AMZN US Equity</stp>
        <stp>EBITDA</stp>
        <stp>FQ4 2006</stp>
        <stp>FQ4 2006</stp>
        <stp>[FA1_j2ahgkxc.xlsx]Cash Flow - Standardized!R45C34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5" s="4"/>
      </tp>
      <tp>
        <v>146</v>
        <stp/>
        <stp>##V3_BDHV12</stp>
        <stp>AMZN US Equity</stp>
        <stp>EBITDA</stp>
        <stp>FQ1 2006</stp>
        <stp>FQ1 2006</stp>
        <stp>[FA1_j2ahgkxc.xlsx]Cash Flow - Standardized!R45C31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5" s="4"/>
      </tp>
      <tp>
        <v>90</v>
        <stp/>
        <stp>##V3_BDHV12</stp>
        <stp>AMZN US Equity</stp>
        <stp>EBITDA</stp>
        <stp>FQ2 2006</stp>
        <stp>FQ2 2006</stp>
        <stp>[FA1_j2ahgkxc.xlsx]Cash Flow - Standardized!R45C32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5" s="4"/>
      </tp>
      <tp>
        <v>103</v>
        <stp/>
        <stp>##V3_BDHV12</stp>
        <stp>AMZN US Equity</stp>
        <stp>EBITDA</stp>
        <stp>FQ3 2006</stp>
        <stp>FQ3 2006</stp>
        <stp>[FA1_j2ahgkxc.xlsx]Cash Flow - Standardized!R45C33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5" s="4"/>
      </tp>
      <tp>
        <v>190.423</v>
        <stp/>
        <stp>##V3_BDHV12</stp>
        <stp>AMZN US Equity</stp>
        <stp>EBITDA</stp>
        <stp>FQ4 2004</stp>
        <stp>FQ4 2004</stp>
        <stp>[FA1_j2ahgkxc.xlsx]Cash Flow - Standardized!R45C26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5" s="4"/>
      </tp>
      <tp>
        <v>128.11600000000001</v>
        <stp/>
        <stp>##V3_BDHV12</stp>
        <stp>AMZN US Equity</stp>
        <stp>EBITDA</stp>
        <stp>FQ1 2004</stp>
        <stp>FQ1 2004</stp>
        <stp>[FA1_j2ahgkxc.xlsx]Cash Flow - Standardized!R45C23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5" s="4"/>
      </tp>
      <tp>
        <v>9.5459999999999994</v>
        <stp/>
        <stp>##V3_BDHV12</stp>
        <stp>AMZN US Equity</stp>
        <stp>CF_CASH_FROM_INV_ACT</stp>
        <stp>FQ2 2000</stp>
        <stp>FQ2 2000</stp>
        <stp>[FA1_j2ahgkxc.xlsx]Cash Flow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4"/>
      </tp>
      <tp>
        <v>-20.042999999999999</v>
        <stp/>
        <stp>##V3_BDHV12</stp>
        <stp>AMZN US Equity</stp>
        <stp>CF_CASH_FROM_INV_ACT</stp>
        <stp>FQ3 2000</stp>
        <stp>FQ3 2000</stp>
        <stp>[FA1_j2ahgkxc.xlsx]Cash Flow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4"/>
      </tp>
      <tp>
        <v>-1.6930000000000001</v>
        <stp/>
        <stp>##V3_BDHV12</stp>
        <stp>AMZN US Equity</stp>
        <stp>FREE_CASH_FLOW_PER_SH</stp>
        <stp>FQ1 2008</stp>
        <stp>FQ1 2008</stp>
        <stp>[FA1_j2ahgkxc.xlsx]Cash Flow - Standardized!R52C39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2" s="4"/>
      </tp>
      <tp>
        <v>1.4500000000000001E-2</v>
        <stp/>
        <stp>##V3_BDHV12</stp>
        <stp>AMZN US Equity</stp>
        <stp>BOOK_VAL_PER_SH</stp>
        <stp>FQ3 2005</stp>
        <stp>FQ3 2005</stp>
        <stp>[FA1_j2ahgkxc.xlsx]Per Share!R26C29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6" s="5"/>
      </tp>
      <tp>
        <v>277.40100000000001</v>
        <stp/>
        <stp>##V3_BDHV12</stp>
        <stp>AMZN US Equity</stp>
        <stp>CF_CASH_FROM_INV_ACT</stp>
        <stp>FQ1 2000</stp>
        <stp>FQ1 2000</stp>
        <stp>[FA1_j2ahgkxc.xlsx]Cash Flow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4"/>
      </tp>
      <tp>
        <v>46.75</v>
        <stp/>
        <stp>##V3_BDHV12</stp>
        <stp>AMZN US Equity</stp>
        <stp>CF_CHNG_NON_CASH_WORK_CAP</stp>
        <stp>FQ3 2002</stp>
        <stp>FQ3 2002</stp>
        <stp>[FA1_j2ahgkxc.xlsx]Cash Flow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4"/>
      </tp>
      <tp>
        <v>-424</v>
        <stp/>
        <stp>##V3_BDHV12</stp>
        <stp>AMZN US Equity</stp>
        <stp>CF_CHNG_NON_CASH_WORK_CAP</stp>
        <stp>FQ1 2006</stp>
        <stp>FQ1 2006</stp>
        <stp>[FA1_j2ahgkxc.xlsx]Cash Flow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4"/>
      </tp>
      <tp>
        <v>-467</v>
        <stp/>
        <stp>##V3_BDHV12</stp>
        <stp>AMZN US Equity</stp>
        <stp>CF_CHNG_NON_CASH_WORK_CAP</stp>
        <stp>FQ1 2007</stp>
        <stp>FQ1 2007</stp>
        <stp>[FA1_j2ahgkxc.xlsx]Cash Flow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4"/>
      </tp>
      <tp>
        <v>18.18</v>
        <stp/>
        <stp>##V3_BDHV12</stp>
        <stp>AMZN US Equity</stp>
        <stp>IS_DEPR_EXP</stp>
        <stp>FQ1 2000</stp>
        <stp>FQ1 2000</stp>
        <stp>[FA1_j2ahgkxc.xlsx]Income - Adjusted!R57C8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7" s="2"/>
      </tp>
      <tp>
        <v>0.53700000000000003</v>
        <stp/>
        <stp>##V3_BDHV12</stp>
        <stp>AMZN US Equity</stp>
        <stp>CF_CHNG_NON_CASH_WORK_CAP</stp>
        <stp>FQ3 2001</stp>
        <stp>FQ3 2001</stp>
        <stp>[FA1_j2ahgkxc.xlsx]Cash Flow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4"/>
      </tp>
      <tp>
        <v>-826</v>
        <stp/>
        <stp>##V3_BDHV12</stp>
        <stp>AMZN US Equity</stp>
        <stp>CF_CHNG_NON_CASH_WORK_CAP</stp>
        <stp>FQ1 2008</stp>
        <stp>FQ1 2008</stp>
        <stp>[FA1_j2ahgkxc.xlsx]Cash Flow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4"/>
      </tp>
      <tp>
        <v>5.2229999999999999</v>
        <stp/>
        <stp>##V3_BDHV12</stp>
        <stp>AMZN US Equity</stp>
        <stp>IS_DEPR_EXP</stp>
        <stp>FQ1 1999</stp>
        <stp>FQ1 1999</stp>
        <stp>[FA1_j2ahgkxc.xlsx]Income - Adjusted!R57C4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7" s="2"/>
      </tp>
      <tp>
        <v>70</v>
        <stp/>
        <stp>##V3_BDHV12</stp>
        <stp>AMZN US Equity</stp>
        <stp>IS_DEPR_EXP</stp>
        <stp>FQ2 2008</stp>
        <stp>FQ2 2008</stp>
        <stp>[FA1_j2ahgkxc.xlsx]Income - Adjusted!R57C40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7" s="2"/>
      </tp>
      <tp>
        <v>21</v>
        <stp/>
        <stp>##V3_BDHV12</stp>
        <stp>AMZN US Equity</stp>
        <stp>OTHER_NON_CASH_ADJ_LESS_DETAILED</stp>
        <stp>FQ3 2005</stp>
        <stp>FQ3 2005</stp>
        <stp>[FA1_j2ahgkxc.xlsx]Cash Flow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4"/>
      </tp>
      <tp>
        <v>20.58</v>
        <stp/>
        <stp>##V3_BDHV12</stp>
        <stp>AMZN US Equity</stp>
        <stp>OTHER_NON_CASH_ADJ_LESS_DETAILED</stp>
        <stp>FQ3 2004</stp>
        <stp>FQ3 2004</stp>
        <stp>[FA1_j2ahgkxc.xlsx]Cash Flow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4"/>
      </tp>
      <tp>
        <v>19</v>
        <stp/>
        <stp>##V3_BDHV12</stp>
        <stp>AMZN US Equity</stp>
        <stp>OTHER_NON_CASH_ADJ_LESS_DETAILED</stp>
        <stp>FQ2 2007</stp>
        <stp>FQ2 2007</stp>
        <stp>[FA1_j2ahgkxc.xlsx]Cash Flow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4"/>
      </tp>
      <tp t="s">
        <v>—</v>
        <stp/>
        <stp>##V3_BDHV12</stp>
        <stp>AMZN US Equity</stp>
        <stp>SHORT_TERM_DEBT_DETAILED</stp>
        <stp>FQ1 2006</stp>
        <stp>FQ1 2006</stp>
        <stp>[FA1_j2ahgkxc.xlsx]Bal Sheet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3"/>
      </tp>
      <tp t="s">
        <v>—</v>
        <stp/>
        <stp>##V3_BDHV12</stp>
        <stp>AMZN US Equity</stp>
        <stp>SHORT_TERM_DEBT_DETAILED</stp>
        <stp>FQ3 2002</stp>
        <stp>FQ3 2002</stp>
        <stp>[FA1_j2ahgkxc.xlsx]Bal Sheet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3"/>
      </tp>
      <tp>
        <v>1738.5609999999999</v>
        <stp/>
        <stp>##V3_BDHV12</stp>
        <stp>AMZN US Equity</stp>
        <stp>TOT_LIAB_AND_EQY</stp>
        <stp>FQ1 2004</stp>
        <stp>FQ1 2004</stp>
        <stp>[FA1_j2ahgkxc.xlsx]Bal Sheet - Standardized!R55C23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3"/>
      </tp>
      <tp>
        <v>1435.047</v>
        <stp/>
        <stp>##V3_BDHV12</stp>
        <stp>AMZN US Equity</stp>
        <stp>TOT_LIAB_AND_EQY</stp>
        <stp>FQ2 2002</stp>
        <stp>FQ2 2002</stp>
        <stp>[FA1_j2ahgkxc.xlsx]Bal Sheet - Standardized!R55C16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3"/>
      </tp>
      <tp>
        <v>0</v>
        <stp/>
        <stp>##V3_BDHV12</stp>
        <stp>AMZN US Equity</stp>
        <stp>EQY_DPS</stp>
        <stp>FQ4 2007</stp>
        <stp>FQ4 2007</stp>
        <stp>[FA1_j2ahgkxc.xlsx]Income - Adjusted!R54C38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4" s="2"/>
      </tp>
      <tp>
        <v>34.066000000000003</v>
        <stp/>
        <stp>##V3_BDHV12</stp>
        <stp>AMZN US Equity</stp>
        <stp>OTHER_NON_CASH_ADJ_LESS_DETAILED</stp>
        <stp>FQ3 2003</stp>
        <stp>FQ3 2003</stp>
        <stp>[FA1_j2ahgkxc.xlsx]Cash Flow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4"/>
      </tp>
      <tp>
        <v>21</v>
        <stp/>
        <stp>##V3_BDHV12</stp>
        <stp>AMZN US Equity</stp>
        <stp>OTHER_NON_CASH_ADJ_LESS_DETAILED</stp>
        <stp>FQ2 2006</stp>
        <stp>FQ2 2006</stp>
        <stp>[FA1_j2ahgkxc.xlsx]Cash Flow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4"/>
      </tp>
      <tp t="s">
        <v>—</v>
        <stp/>
        <stp>##V3_BDHV12</stp>
        <stp>AMZN US Equity</stp>
        <stp>SHORT_TERM_DEBT_DETAILED</stp>
        <stp>FQ1 2007</stp>
        <stp>FQ1 2007</stp>
        <stp>[FA1_j2ahgkxc.xlsx]Bal Sheet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3"/>
      </tp>
      <tp>
        <v>1345.0360000000001</v>
        <stp/>
        <stp>##V3_BDHV12</stp>
        <stp>AMZN US Equity</stp>
        <stp>TOT_LIAB_AND_EQY</stp>
        <stp>FQ2 2001</stp>
        <stp>FQ2 2001</stp>
        <stp>[FA1_j2ahgkxc.xlsx]Bal Sheet - Standardized!R55C12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3"/>
      </tp>
      <tp t="s">
        <v>—</v>
        <stp/>
        <stp>##V3_BDHV12</stp>
        <stp>AMZN US Equity</stp>
        <stp>SHORT_TERM_DEBT_DETAILED</stp>
        <stp>FQ3 2001</stp>
        <stp>FQ3 2001</stp>
        <stp>[FA1_j2ahgkxc.xlsx]Bal Sheet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3"/>
      </tp>
      <tp>
        <v>2472</v>
        <stp/>
        <stp>##V3_BDHV12</stp>
        <stp>AMZN US Equity</stp>
        <stp>TOT_LIAB_AND_EQY</stp>
        <stp>FQ1 2005</stp>
        <stp>FQ1 2005</stp>
        <stp>[FA1_j2ahgkxc.xlsx]Bal Sheet - Standardized!R55C27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3"/>
      </tp>
      <tp t="s">
        <v>—</v>
        <stp/>
        <stp>##V3_BDHV12</stp>
        <stp>AMZN US Equity</stp>
        <stp>SHORT_TERM_DEBT_DETAILED</stp>
        <stp>FQ1 2008</stp>
        <stp>FQ1 2008</stp>
        <stp>[FA1_j2ahgkxc.xlsx]Bal Sheet - Standardized!R35C39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3"/>
      </tp>
      <tp>
        <v>436</v>
        <stp/>
        <stp>##V3_BDHV12</stp>
        <stp>AMZN US Equity</stp>
        <stp>IS_SH_FOR_DILUTED_EPS</stp>
        <stp>FQ3 2008</stp>
        <stp>FQ3 2008</stp>
        <stp>[FA1_j2ahgkxc.xlsx]Income - Adjusted!R39C41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9" s="2"/>
      </tp>
      <tp>
        <v>-0.16</v>
        <stp/>
        <stp>##V3_BDHV12</stp>
        <stp>AMZN US Equity</stp>
        <stp>IS_BASIC_EPS_CONT_OPS</stp>
        <stp>FQ2 2001</stp>
        <stp>FQ2 2001</stp>
        <stp>[FA1_j2ahgkxc.xlsx]Income - Adjusted!R37C12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7" s="2"/>
      </tp>
      <tp>
        <v>0.11</v>
        <stp/>
        <stp>##V3_BDHV12</stp>
        <stp>AMZN US Equity</stp>
        <stp>IS_BASIC_EPS_CONT_OPS</stp>
        <stp>FQ2 2003</stp>
        <stp>FQ2 2003</stp>
        <stp>[FA1_j2ahgkxc.xlsx]Income - Adjusted!R37C20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7" s="2"/>
      </tp>
      <tp>
        <v>0</v>
        <stp/>
        <stp>##V3_BDHV12</stp>
        <stp>AMZN US Equity</stp>
        <stp>DISP_FXD_&amp;_INTANGIBLES_DETAILED</stp>
        <stp>FQ3 2006</stp>
        <stp>FQ3 2006</stp>
        <stp>[FA1_j2ahgkxc.xlsx]Cash Flow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4"/>
      </tp>
      <tp>
        <v>0</v>
        <stp/>
        <stp>##V3_BDHV12</stp>
        <stp>AMZN US Equity</stp>
        <stp>DISP_FXD_&amp;_INTANGIBLES_DETAILED</stp>
        <stp>FQ1 2002</stp>
        <stp>FQ1 2002</stp>
        <stp>[FA1_j2ahgkxc.xlsx]Cash Flow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4"/>
      </tp>
      <tp>
        <v>0</v>
        <stp/>
        <stp>##V3_BDHV12</stp>
        <stp>AMZN US Equity</stp>
        <stp>DISP_FXD_&amp;_INTANGIBLES_DETAILED</stp>
        <stp>FQ1 2001</stp>
        <stp>FQ1 2001</stp>
        <stp>[FA1_j2ahgkxc.xlsx]Cash Flow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4"/>
      </tp>
      <tp>
        <v>0</v>
        <stp/>
        <stp>##V3_BDHV12</stp>
        <stp>AMZN US Equity</stp>
        <stp>DISP_FXD_&amp;_INTANGIBLES_DETAILED</stp>
        <stp>FQ2 2003</stp>
        <stp>FQ2 2003</stp>
        <stp>[FA1_j2ahgkxc.xlsx]Cash Flow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4"/>
      </tp>
      <tp>
        <v>0</v>
        <stp/>
        <stp>##V3_BDHV12</stp>
        <stp>AMZN US Equity</stp>
        <stp>DISP_FXD_&amp;_INTANGIBLES_DETAILED</stp>
        <stp>FQ3 2007</stp>
        <stp>FQ3 2007</stp>
        <stp>[FA1_j2ahgkxc.xlsx]Cash Flow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4"/>
      </tp>
      <tp>
        <v>0</v>
        <stp/>
        <stp>##V3_BDHV12</stp>
        <stp>AMZN US Equity</stp>
        <stp>DISP_FXD_&amp;_INTANGIBLES_DETAILED</stp>
        <stp>FQ2 2004</stp>
        <stp>FQ2 2004</stp>
        <stp>[FA1_j2ahgkxc.xlsx]Cash Flow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4"/>
      </tp>
      <tp>
        <v>0</v>
        <stp/>
        <stp>##V3_BDHV12</stp>
        <stp>AMZN US Equity</stp>
        <stp>DISP_FXD_&amp;_INTANGIBLES_DETAILED</stp>
        <stp>FQ2 2005</stp>
        <stp>FQ2 2005</stp>
        <stp>[FA1_j2ahgkxc.xlsx]Cash Flow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4"/>
      </tp>
      <tp>
        <v>0</v>
        <stp/>
        <stp>##V3_BDHV12</stp>
        <stp>AMZN US Equity</stp>
        <stp>DISP_FXD_&amp;_INTANGIBLES_DETAILED</stp>
        <stp>FQ4 2008</stp>
        <stp>FQ4 2008</stp>
        <stp>[FA1_j2ahgkxc.xlsx]Cash Flow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4"/>
      </tp>
      <tp>
        <v>0</v>
        <stp/>
        <stp>##V3_BDHV12</stp>
        <stp>AMZN US Equity</stp>
        <stp>DISP_FXD_&amp;_INTANGIBLES_DETAILED</stp>
        <stp>FQ1 2003</stp>
        <stp>FQ1 2003</stp>
        <stp>[FA1_j2ahgkxc.xlsx]Cash Flow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4"/>
      </tp>
      <tp>
        <v>56.480699999999999</v>
        <stp/>
        <stp>##V3_BDHV12</stp>
        <stp>AMZN US Equity</stp>
        <stp>PX_TO_FREE_CASH_FLOW</stp>
        <stp>FQ4 2002</stp>
        <stp>FQ4 2002</stp>
        <stp>[FA1_j2ahgkxc.xlsx]Cash Flow - Standardized!R53C18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3" s="4"/>
      </tp>
      <tp>
        <v>16.240500000000001</v>
        <stp/>
        <stp>##V3_BDHV12</stp>
        <stp>AMZN US Equity</stp>
        <stp>PX_TO_FREE_CASH_FLOW</stp>
        <stp>FQ4 2008</stp>
        <stp>FQ4 2008</stp>
        <stp>[FA1_j2ahgkxc.xlsx]Cash Flow - Standardized!R53C42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3" s="4"/>
      </tp>
      <tp>
        <v>294.2647</v>
        <stp/>
        <stp>##V3_BDHV12</stp>
        <stp>AMZN US Equity</stp>
        <stp>CF_FREE_CASH_FLOW_FIRM</stp>
        <stp>FQ2 2008</stp>
        <stp>FQ2 2008</stp>
        <stp>[FA1_j2ahgkxc.xlsx]Cash Flow - Standardized!R50C40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50" s="4"/>
      </tp>
      <tp>
        <v>333.33330000000001</v>
        <stp/>
        <stp>##V3_BDHV12</stp>
        <stp>AMZN US Equity</stp>
        <stp>CF_FREE_CASH_FLOW_FIRM</stp>
        <stp>FQ3 2008</stp>
        <stp>FQ3 2008</stp>
        <stp>[FA1_j2ahgkxc.xlsx]Cash Flow - Standardized!R50C41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50" s="4"/>
      </tp>
      <tp>
        <v>70.269000000000005</v>
        <stp/>
        <stp>##V3_BDHV12</stp>
        <stp>AMZN US Equity</stp>
        <stp>EBITDA</stp>
        <stp>FQ3 2003</stp>
        <stp>FQ3 2003</stp>
        <stp>[FA1_j2ahgkxc.xlsx]Cash Flow - Standardized!R45C21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5" s="4"/>
      </tp>
      <tp>
        <v>60.826000000000001</v>
        <stp/>
        <stp>##V3_BDHV12</stp>
        <stp>AMZN US Equity</stp>
        <stp>EBITDA</stp>
        <stp>FQ2 2003</stp>
        <stp>FQ2 2003</stp>
        <stp>[FA1_j2ahgkxc.xlsx]Cash Flow - Standardized!R45C20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5" s="4"/>
      </tp>
      <tp>
        <v>80.356999999999999</v>
        <stp/>
        <stp>##V3_BDHV12</stp>
        <stp>AMZN US Equity</stp>
        <stp>EBITDA</stp>
        <stp>FQ4 2001</stp>
        <stp>FQ4 2001</stp>
        <stp>[FA1_j2ahgkxc.xlsx]Cash Flow - Standardized!R45C14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5" s="4"/>
      </tp>
      <tp>
        <v>-9.5660000000000007</v>
        <stp/>
        <stp>##V3_BDHV12</stp>
        <stp>AMZN US Equity</stp>
        <stp>EBITDA</stp>
        <stp>FQ2 2001</stp>
        <stp>FQ2 2001</stp>
        <stp>[FA1_j2ahgkxc.xlsx]Cash Flow - Standardized!R45C12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5" s="4"/>
      </tp>
      <tp>
        <v>-4.71</v>
        <stp/>
        <stp>##V3_BDHV12</stp>
        <stp>AMZN US Equity</stp>
        <stp>EBITDA</stp>
        <stp>FQ3 2001</stp>
        <stp>FQ3 2001</stp>
        <stp>[FA1_j2ahgkxc.xlsx]Cash Flow - Standardized!R45C13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5" s="4"/>
      </tp>
      <tp>
        <v>-28.443999999999999</v>
        <stp/>
        <stp>##V3_BDHV12</stp>
        <stp>AMZN US Equity</stp>
        <stp>EBITDA</stp>
        <stp>FQ1 2001</stp>
        <stp>FQ1 2001</stp>
        <stp>[FA1_j2ahgkxc.xlsx]Cash Flow - Standardized!R45C11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5" s="4"/>
      </tp>
      <tp>
        <v>202</v>
        <stp/>
        <stp>##V3_BDHV12</stp>
        <stp>AMZN US Equity</stp>
        <stp>EBITDA</stp>
        <stp>FQ4 2005</stp>
        <stp>FQ4 2005</stp>
        <stp>[FA1_j2ahgkxc.xlsx]Cash Flow - Standardized!R45C30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5" s="4"/>
      </tp>
      <tp>
        <v>745.60799999999995</v>
        <stp/>
        <stp>##V3_BDHV12</stp>
        <stp>AMZN US Equity</stp>
        <stp>BS_CASH_NEAR_CASH_ITEM</stp>
        <stp>FQ3 2004</stp>
        <stp>FQ3 2004</stp>
        <stp>[FA1_j2ahgkxc.xlsx]Bal Sheet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3"/>
      </tp>
      <tp>
        <v>1102.2728999999999</v>
        <stp/>
        <stp>##V3_BDHV12</stp>
        <stp>AMZN US Equity</stp>
        <stp>BS_CASH_NEAR_CASH_ITEM</stp>
        <stp>FQ4 2003</stp>
        <stp>FQ4 2003</stp>
        <stp>[FA1_j2ahgkxc.xlsx]Bal Sheet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3"/>
      </tp>
      <tp>
        <v>701.15</v>
        <stp/>
        <stp>##V3_BDHV12</stp>
        <stp>AMZN US Equity</stp>
        <stp>BS_CASH_NEAR_CASH_ITEM</stp>
        <stp>FQ2 2004</stp>
        <stp>FQ2 2004</stp>
        <stp>[FA1_j2ahgkxc.xlsx]Bal Sheet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3"/>
      </tp>
      <tp>
        <v>533</v>
        <stp/>
        <stp>##V3_BDHV12</stp>
        <stp>AMZN US Equity</stp>
        <stp>BS_CASH_NEAR_CASH_ITEM</stp>
        <stp>FQ1 2005</stp>
        <stp>FQ1 2005</stp>
        <stp>[FA1_j2ahgkxc.xlsx]Bal Sheet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3"/>
      </tp>
      <tp>
        <v>641.72799999999995</v>
        <stp/>
        <stp>##V3_BDHV12</stp>
        <stp>AMZN US Equity</stp>
        <stp>BS_CASH_NEAR_CASH_ITEM</stp>
        <stp>FQ2 2003</stp>
        <stp>FQ2 2003</stp>
        <stp>[FA1_j2ahgkxc.xlsx]Bal Sheet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3"/>
      </tp>
      <tp>
        <v>1302.5999999999999</v>
        <stp/>
        <stp>##V3_BDHV12</stp>
        <stp>AMZN US Equity</stp>
        <stp>BS_CASH_NEAR_CASH_ITEM</stp>
        <stp>FQ4 2004</stp>
        <stp>FQ4 2004</stp>
        <stp>[FA1_j2ahgkxc.xlsx]Bal Sheet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3"/>
      </tp>
      <tp>
        <v>666.41800000000001</v>
        <stp/>
        <stp>##V3_BDHV12</stp>
        <stp>AMZN US Equity</stp>
        <stp>BS_CASH_NEAR_CASH_ITEM</stp>
        <stp>FQ3 2003</stp>
        <stp>FQ3 2003</stp>
        <stp>[FA1_j2ahgkxc.xlsx]Bal Sheet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3"/>
      </tp>
      <tp>
        <v>768.58699999999999</v>
        <stp/>
        <stp>##V3_BDHV12</stp>
        <stp>AMZN US Equity</stp>
        <stp>BS_CASH_NEAR_CASH_ITEM</stp>
        <stp>FQ1 2004</stp>
        <stp>FQ1 2004</stp>
        <stp>[FA1_j2ahgkxc.xlsx]Bal Sheet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3"/>
      </tp>
      <tp>
        <v>629</v>
        <stp/>
        <stp>##V3_BDHV12</stp>
        <stp>AMZN US Equity</stp>
        <stp>BS_CASH_NEAR_CASH_ITEM</stp>
        <stp>FQ2 2005</stp>
        <stp>FQ2 2005</stp>
        <stp>[FA1_j2ahgkxc.xlsx]Bal Sheet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3"/>
      </tp>
      <tp>
        <v>600</v>
        <stp/>
        <stp>##V3_BDHV12</stp>
        <stp>AMZN US Equity</stp>
        <stp>BS_CASH_NEAR_CASH_ITEM</stp>
        <stp>FQ3 2005</stp>
        <stp>FQ3 2005</stp>
        <stp>[FA1_j2ahgkxc.xlsx]Bal Sheet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3"/>
      </tp>
      <tp>
        <v>0</v>
        <stp/>
        <stp>##V3_BDHV12</stp>
        <stp>AMZN US Equity</stp>
        <stp>EQY_DPS</stp>
        <stp>FQ4 1998</stp>
        <stp>FQ4 1998</stp>
        <stp>[FA1_j2ahgkxc.xlsx]Income - Adjusted!R54C3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4" s="2"/>
      </tp>
      <tp>
        <v>-18.951000000000001</v>
        <stp/>
        <stp>##V3_BDHV12</stp>
        <stp>AMZN US Equity</stp>
        <stp>CF_CHNG_NON_CASH_WORK_CAP</stp>
        <stp>FQ2 2002</stp>
        <stp>FQ2 2002</stp>
        <stp>[FA1_j2ahgkxc.xlsx]Cash Flow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4"/>
      </tp>
      <tp>
        <v>-365.77199999999999</v>
        <stp/>
        <stp>##V3_BDHV12</stp>
        <stp>AMZN US Equity</stp>
        <stp>CF_CHNG_NON_CASH_WORK_CAP</stp>
        <stp>FQ1 2004</stp>
        <stp>FQ1 2004</stp>
        <stp>[FA1_j2ahgkxc.xlsx]Cash Flow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4"/>
      </tp>
      <tp>
        <v>-431</v>
        <stp/>
        <stp>##V3_BDHV12</stp>
        <stp>AMZN US Equity</stp>
        <stp>CF_CHNG_NON_CASH_WORK_CAP</stp>
        <stp>FQ1 2005</stp>
        <stp>FQ1 2005</stp>
        <stp>[FA1_j2ahgkxc.xlsx]Cash Flow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4"/>
      </tp>
      <tp>
        <v>116.352</v>
        <stp/>
        <stp>##V3_BDHV12</stp>
        <stp>AMZN US Equity</stp>
        <stp>CF_CHNG_NON_CASH_WORK_CAP</stp>
        <stp>FQ2 2001</stp>
        <stp>FQ2 2001</stp>
        <stp>[FA1_j2ahgkxc.xlsx]Cash Flow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4"/>
      </tp>
      <tp>
        <v>76</v>
        <stp/>
        <stp>##V3_BDHV12</stp>
        <stp>AMZN US Equity</stp>
        <stp>IS_DEPR_EXP</stp>
        <stp>FQ3 2008</stp>
        <stp>FQ3 2008</stp>
        <stp>[FA1_j2ahgkxc.xlsx]Income - Adjusted!R57C41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7" s="2"/>
      </tp>
      <tp>
        <v>54.366</v>
        <stp/>
        <stp>##V3_BDHV12</stp>
        <stp>AMZN US Equity</stp>
        <stp>OTHER_NON_CASH_ADJ_LESS_DETAILED</stp>
        <stp>FQ1 2003</stp>
        <stp>FQ1 2003</stp>
        <stp>[FA1_j2ahgkxc.xlsx]Cash Flow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4"/>
      </tp>
      <tp>
        <v>-9</v>
        <stp/>
        <stp>##V3_BDHV12</stp>
        <stp>AMZN US Equity</stp>
        <stp>OTHER_NON_CASH_ADJ_LESS_DETAILED</stp>
        <stp>FQ4 2008</stp>
        <stp>FQ4 2008</stp>
        <stp>[FA1_j2ahgkxc.xlsx]Cash Flow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4"/>
      </tp>
      <tp>
        <v>11</v>
        <stp/>
        <stp>##V3_BDHV12</stp>
        <stp>AMZN US Equity</stp>
        <stp>OTHER_NON_CASH_ADJ_LESS_DETAILED</stp>
        <stp>FQ2 2005</stp>
        <stp>FQ2 2005</stp>
        <stp>[FA1_j2ahgkxc.xlsx]Cash Flow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4"/>
      </tp>
      <tp>
        <v>-0.56999999999999995</v>
        <stp/>
        <stp>##V3_BDHV12</stp>
        <stp>AMZN US Equity</stp>
        <stp>OTHER_NON_CASH_ADJ_LESS_DETAILED</stp>
        <stp>FQ2 2004</stp>
        <stp>FQ2 2004</stp>
        <stp>[FA1_j2ahgkxc.xlsx]Cash Flow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4"/>
      </tp>
      <tp>
        <v>23</v>
        <stp/>
        <stp>##V3_BDHV12</stp>
        <stp>AMZN US Equity</stp>
        <stp>OTHER_NON_CASH_ADJ_LESS_DETAILED</stp>
        <stp>FQ3 2007</stp>
        <stp>FQ3 2007</stp>
        <stp>[FA1_j2ahgkxc.xlsx]Cash Flow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4"/>
      </tp>
      <tp t="s">
        <v>—</v>
        <stp/>
        <stp>##V3_BDHV12</stp>
        <stp>AMZN US Equity</stp>
        <stp>SHORT_TERM_DEBT_DETAILED</stp>
        <stp>FQ1 2004</stp>
        <stp>FQ1 2004</stp>
        <stp>[FA1_j2ahgkxc.xlsx]Bal Sheet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3"/>
      </tp>
      <tp t="s">
        <v>—</v>
        <stp/>
        <stp>##V3_BDHV12</stp>
        <stp>AMZN US Equity</stp>
        <stp>SHORT_TERM_DEBT_DETAILED</stp>
        <stp>FQ2 2002</stp>
        <stp>FQ2 2002</stp>
        <stp>[FA1_j2ahgkxc.xlsx]Bal Sheet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3"/>
      </tp>
      <tp>
        <v>2990</v>
        <stp/>
        <stp>##V3_BDHV12</stp>
        <stp>AMZN US Equity</stp>
        <stp>TOT_LIAB_AND_EQY</stp>
        <stp>FQ1 2006</stp>
        <stp>FQ1 2006</stp>
        <stp>[FA1_j2ahgkxc.xlsx]Bal Sheet - Standardized!R55C31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3"/>
      </tp>
      <tp>
        <v>1497.4050999999999</v>
        <stp/>
        <stp>##V3_BDHV12</stp>
        <stp>AMZN US Equity</stp>
        <stp>TOT_LIAB_AND_EQY</stp>
        <stp>FQ3 2002</stp>
        <stp>FQ3 2002</stp>
        <stp>[FA1_j2ahgkxc.xlsx]Bal Sheet - Standardized!R55C17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3"/>
      </tp>
      <tp>
        <v>83.841999999999999</v>
        <stp/>
        <stp>##V3_BDHV12</stp>
        <stp>AMZN US Equity</stp>
        <stp>OTHER_NON_CASH_ADJ_LESS_DETAILED</stp>
        <stp>FQ2 2003</stp>
        <stp>FQ2 2003</stp>
        <stp>[FA1_j2ahgkxc.xlsx]Cash Flow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4"/>
      </tp>
      <tp>
        <v>27.968</v>
        <stp/>
        <stp>##V3_BDHV12</stp>
        <stp>AMZN US Equity</stp>
        <stp>OTHER_NON_CASH_ADJ_LESS_DETAILED</stp>
        <stp>FQ1 2001</stp>
        <stp>FQ1 2001</stp>
        <stp>[FA1_j2ahgkxc.xlsx]Cash Flow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4"/>
      </tp>
      <tp>
        <v>29</v>
        <stp/>
        <stp>##V3_BDHV12</stp>
        <stp>AMZN US Equity</stp>
        <stp>OTHER_NON_CASH_ADJ_LESS_DETAILED</stp>
        <stp>FQ3 2006</stp>
        <stp>FQ3 2006</stp>
        <stp>[FA1_j2ahgkxc.xlsx]Cash Flow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4"/>
      </tp>
      <tp>
        <v>13.052</v>
        <stp/>
        <stp>##V3_BDHV12</stp>
        <stp>AMZN US Equity</stp>
        <stp>OTHER_NON_CASH_ADJ_LESS_DETAILED</stp>
        <stp>FQ1 2002</stp>
        <stp>FQ1 2002</stp>
        <stp>[FA1_j2ahgkxc.xlsx]Cash Flow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4"/>
      </tp>
      <tp>
        <v>5883</v>
        <stp/>
        <stp>##V3_BDHV12</stp>
        <stp>AMZN US Equity</stp>
        <stp>TOT_LIAB_AND_EQY</stp>
        <stp>FQ1 2008</stp>
        <stp>FQ1 2008</stp>
        <stp>[FA1_j2ahgkxc.xlsx]Bal Sheet - Standardized!R55C39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3"/>
      </tp>
      <tp>
        <v>0.9</v>
        <stp/>
        <stp>##V3_BDHV12</stp>
        <stp>AMZN US Equity</stp>
        <stp>SHORT_TERM_DEBT_DETAILED</stp>
        <stp>FQ1 2005</stp>
        <stp>FQ1 2005</stp>
        <stp>[FA1_j2ahgkxc.xlsx]Bal Sheet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3"/>
      </tp>
      <tp>
        <v>1346.3679999999999</v>
        <stp/>
        <stp>##V3_BDHV12</stp>
        <stp>AMZN US Equity</stp>
        <stp>TOT_LIAB_AND_EQY</stp>
        <stp>FQ3 2001</stp>
        <stp>FQ3 2001</stp>
        <stp>[FA1_j2ahgkxc.xlsx]Bal Sheet - Standardized!R55C13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3"/>
      </tp>
      <tp t="s">
        <v>—</v>
        <stp/>
        <stp>##V3_BDHV12</stp>
        <stp>AMZN US Equity</stp>
        <stp>SHORT_TERM_DEBT_DETAILED</stp>
        <stp>FQ2 2001</stp>
        <stp>FQ2 2001</stp>
        <stp>[FA1_j2ahgkxc.xlsx]Bal Sheet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3"/>
      </tp>
      <tp>
        <v>3661</v>
        <stp/>
        <stp>##V3_BDHV12</stp>
        <stp>AMZN US Equity</stp>
        <stp>TOT_LIAB_AND_EQY</stp>
        <stp>FQ1 2007</stp>
        <stp>FQ1 2007</stp>
        <stp>[FA1_j2ahgkxc.xlsx]Bal Sheet - Standardized!R55C35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3"/>
      </tp>
      <tp>
        <v>430</v>
        <stp/>
        <stp>##V3_BDHV12</stp>
        <stp>AMZN US Equity</stp>
        <stp>IS_SH_FOR_DILUTED_EPS</stp>
        <stp>FQ2 2008</stp>
        <stp>FQ2 2008</stp>
        <stp>[FA1_j2ahgkxc.xlsx]Income - Adjusted!R39C40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9" s="2"/>
      </tp>
      <tp>
        <v>0.27</v>
        <stp/>
        <stp>##V3_BDHV12</stp>
        <stp>AMZN US Equity</stp>
        <stp>IS_BASIC_EPS_CONT_OPS</stp>
        <stp>FQ1 2007</stp>
        <stp>FQ1 2007</stp>
        <stp>[FA1_j2ahgkxc.xlsx]Income - Adjusted!R37C35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7" s="2"/>
      </tp>
      <tp>
        <v>0.13</v>
        <stp/>
        <stp>##V3_BDHV12</stp>
        <stp>AMZN US Equity</stp>
        <stp>IS_BASIC_EPS_CONT_OPS</stp>
        <stp>FQ1 2005</stp>
        <stp>FQ1 2005</stp>
        <stp>[FA1_j2ahgkxc.xlsx]Income - Adjusted!R37C27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7" s="2"/>
      </tp>
      <tp>
        <v>0.12</v>
        <stp/>
        <stp>##V3_BDHV12</stp>
        <stp>AMZN US Equity</stp>
        <stp>IS_BASIC_EPS_CONT_OPS</stp>
        <stp>FQ3 2003</stp>
        <stp>FQ3 2003</stp>
        <stp>[FA1_j2ahgkxc.xlsx]Income - Adjusted!R37C21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7" s="2"/>
      </tp>
      <tp>
        <v>-0.46</v>
        <stp/>
        <stp>##V3_BDHV12</stp>
        <stp>AMZN US Equity</stp>
        <stp>IS_BASIC_EPS_CONT_OPS</stp>
        <stp>FQ3 2001</stp>
        <stp>FQ3 2001</stp>
        <stp>[FA1_j2ahgkxc.xlsx]Income - Adjusted!R37C13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7" s="2"/>
      </tp>
      <tp>
        <v>0.24</v>
        <stp/>
        <stp>##V3_BDHV12</stp>
        <stp>AMZN US Equity</stp>
        <stp>IS_BASIC_EPS_CONT_OPS</stp>
        <stp>FQ4 2006</stp>
        <stp>FQ4 2006</stp>
        <stp>[FA1_j2ahgkxc.xlsx]Income - Adjusted!R37C34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7" s="2"/>
      </tp>
      <tp>
        <v>0.36</v>
        <stp/>
        <stp>##V3_BDHV12</stp>
        <stp>AMZN US Equity</stp>
        <stp>IS_BASIC_EPS_CONT_OPS</stp>
        <stp>FQ4 2004</stp>
        <stp>FQ4 2004</stp>
        <stp>[FA1_j2ahgkxc.xlsx]Income - Adjusted!R37C26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7" s="2"/>
      </tp>
      <tp>
        <v>0</v>
        <stp/>
        <stp>##V3_BDHV12</stp>
        <stp>AMZN US Equity</stp>
        <stp>DISP_FXD_&amp;_INTANGIBLES_DETAILED</stp>
        <stp>FQ2 2006</stp>
        <stp>FQ2 2006</stp>
        <stp>[FA1_j2ahgkxc.xlsx]Cash Flow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4"/>
      </tp>
      <tp>
        <v>0</v>
        <stp/>
        <stp>##V3_BDHV12</stp>
        <stp>AMZN US Equity</stp>
        <stp>DISP_FXD_&amp;_INTANGIBLES_DETAILED</stp>
        <stp>FQ3 2003</stp>
        <stp>FQ3 2003</stp>
        <stp>[FA1_j2ahgkxc.xlsx]Cash Flow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4"/>
      </tp>
      <tp>
        <v>0</v>
        <stp/>
        <stp>##V3_BDHV12</stp>
        <stp>AMZN US Equity</stp>
        <stp>DISP_FXD_&amp;_INTANGIBLES_DETAILED</stp>
        <stp>FQ2 2007</stp>
        <stp>FQ2 2007</stp>
        <stp>[FA1_j2ahgkxc.xlsx]Cash Flow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4"/>
      </tp>
      <tp>
        <v>0</v>
        <stp/>
        <stp>##V3_BDHV12</stp>
        <stp>AMZN US Equity</stp>
        <stp>DISP_FXD_&amp;_INTANGIBLES_DETAILED</stp>
        <stp>FQ3 2004</stp>
        <stp>FQ3 2004</stp>
        <stp>[FA1_j2ahgkxc.xlsx]Cash Flow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4"/>
      </tp>
      <tp>
        <v>2.762</v>
        <stp/>
        <stp>##V3_BDHV12</stp>
        <stp>AMZN US Equity</stp>
        <stp>CASH_FLOW_PER_SH</stp>
        <stp>FQ4 2007</stp>
        <stp>FQ4 2007</stp>
        <stp>[FA1_j2ahgkxc.xlsx]Per Share!R22C38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2" s="5"/>
      </tp>
      <tp>
        <v>0</v>
        <stp/>
        <stp>##V3_BDHV12</stp>
        <stp>AMZN US Equity</stp>
        <stp>DISP_FXD_&amp;_INTANGIBLES_DETAILED</stp>
        <stp>FQ3 2005</stp>
        <stp>FQ3 2005</stp>
        <stp>[FA1_j2ahgkxc.xlsx]Cash Flow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4"/>
      </tp>
      <tp>
        <v>-0.9</v>
        <stp/>
        <stp>##V3_BDHV12</stp>
        <stp>AMZN US Equity</stp>
        <stp>IS_EARN_BEF_XO_ITEMS_PER_SH</stp>
        <stp>FQ1 2000</stp>
        <stp>FQ1 2000</stp>
        <stp>[FA1_j2ahgkxc.xlsx]Per Share!R15C8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5" s="5"/>
      </tp>
      <tp>
        <v>38.934399999999997</v>
        <stp/>
        <stp>##V3_BDHV12</stp>
        <stp>AMZN US Equity</stp>
        <stp>PX_TO_FREE_CASH_FLOW</stp>
        <stp>FQ3 2005</stp>
        <stp>FQ3 2005</stp>
        <stp>[FA1_j2ahgkxc.xlsx]Cash Flow - Standardized!R53C29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3" s="4"/>
      </tp>
      <tp>
        <v>27.730599999999999</v>
        <stp/>
        <stp>##V3_BDHV12</stp>
        <stp>AMZN US Equity</stp>
        <stp>PX_TO_FREE_CASH_FLOW</stp>
        <stp>FQ2 2005</stp>
        <stp>FQ2 2005</stp>
        <stp>[FA1_j2ahgkxc.xlsx]Cash Flow - Standardized!R53C28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3" s="4"/>
      </tp>
      <tp>
        <v>-101.23</v>
        <stp/>
        <stp>##V3_BDHV12</stp>
        <stp>AMZN US Equity</stp>
        <stp>PROC_FR_REPAYMNTS_BOR_DETAILED</stp>
        <stp>FQ2 1999</stp>
        <stp>FQ2 1999</stp>
        <stp>[FA1_j2ahgkxc.xlsx]Cash Flow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4"/>
      </tp>
      <tp>
        <v>8.4079999999999995</v>
        <stp/>
        <stp>##V3_BDHV12</stp>
        <stp>AMZN US Equity</stp>
        <stp>PROC_FR_REPAYMNTS_BOR_DETAILED</stp>
        <stp>FQ3 1999</stp>
        <stp>FQ3 1999</stp>
        <stp>[FA1_j2ahgkxc.xlsx]Cash Flow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4"/>
      </tp>
      <tp>
        <v>-1.1759999999999999</v>
        <stp/>
        <stp>##V3_BDHV12</stp>
        <stp>AMZN US Equity</stp>
        <stp>PROC_FR_REPAYMNTS_BOR_DETAILED</stp>
        <stp>FQ4 1999</stp>
        <stp>FQ4 1999</stp>
        <stp>[FA1_j2ahgkxc.xlsx]Cash Flow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4"/>
      </tp>
      <tp>
        <v>1168.751</v>
        <stp/>
        <stp>##V3_BDHV12</stp>
        <stp>AMZN US Equity</stp>
        <stp>PROC_FR_REPAYMNTS_BOR_DETAILED</stp>
        <stp>FQ1 1999</stp>
        <stp>FQ1 1999</stp>
        <stp>[FA1_j2ahgkxc.xlsx]Cash Flow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4"/>
      </tp>
      <tp>
        <v>1091.4698000000001</v>
        <stp/>
        <stp>##V3_BDHV12</stp>
        <stp>AMZN US Equity</stp>
        <stp>CF_FREE_CASH_FLOW_FIRM</stp>
        <stp>FQ4 2007</stp>
        <stp>FQ4 2007</stp>
        <stp>[FA1_j2ahgkxc.xlsx]Cash Flow - Standardized!R50C38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50" s="4"/>
      </tp>
      <tp t="s">
        <v>—</v>
        <stp/>
        <stp>##V3_BDHV12</stp>
        <stp>AMZN US Equity</stp>
        <stp>CF_FREE_CASH_FLOW_FIRM</stp>
        <stp>FQ1 2003</stp>
        <stp>FQ1 2003</stp>
        <stp>[FA1_j2ahgkxc.xlsx]Cash Flow - Standardized!R50C19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50" s="4"/>
      </tp>
      <tp>
        <v>263</v>
        <stp/>
        <stp>##V3_BDHV12</stp>
        <stp>AMZN US Equity</stp>
        <stp>EBITDA</stp>
        <stp>FQ1 2008</stp>
        <stp>FQ1 2008</stp>
        <stp>[FA1_j2ahgkxc.xlsx]Cash Flow - Standardized!R45C39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45" s="4"/>
      </tp>
      <tp>
        <v>1013</v>
        <stp/>
        <stp>##V3_BDHV12</stp>
        <stp>AMZN US Equity</stp>
        <stp>BS_CASH_NEAR_CASH_ITEM</stp>
        <stp>FQ4 2005</stp>
        <stp>FQ4 2005</stp>
        <stp>[FA1_j2ahgkxc.xlsx]Bal Sheet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3"/>
      </tp>
      <tp>
        <v>748</v>
        <stp/>
        <stp>##V3_BDHV12</stp>
        <stp>AMZN US Equity</stp>
        <stp>BS_CASH_NEAR_CASH_ITEM</stp>
        <stp>FQ1 2007</stp>
        <stp>FQ1 2007</stp>
        <stp>[FA1_j2ahgkxc.xlsx]Bal Sheet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3"/>
      </tp>
      <tp>
        <v>1004</v>
        <stp/>
        <stp>##V3_BDHV12</stp>
        <stp>AMZN US Equity</stp>
        <stp>BS_CASH_NEAR_CASH_ITEM</stp>
        <stp>FQ2 2007</stp>
        <stp>FQ2 2007</stp>
        <stp>[FA1_j2ahgkxc.xlsx]Bal Sheet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3"/>
      </tp>
      <tp>
        <v>1366</v>
        <stp/>
        <stp>##V3_BDHV12</stp>
        <stp>AMZN US Equity</stp>
        <stp>BS_CASH_NEAR_CASH_ITEM</stp>
        <stp>FQ3 2007</stp>
        <stp>FQ3 2007</stp>
        <stp>[FA1_j2ahgkxc.xlsx]Bal Sheet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3"/>
      </tp>
      <tp>
        <v>1022</v>
        <stp/>
        <stp>##V3_BDHV12</stp>
        <stp>AMZN US Equity</stp>
        <stp>BS_CASH_NEAR_CASH_ITEM</stp>
        <stp>FQ4 2006</stp>
        <stp>FQ4 2006</stp>
        <stp>[FA1_j2ahgkxc.xlsx]Bal Sheet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3"/>
      </tp>
      <tp>
        <v>507</v>
        <stp/>
        <stp>##V3_BDHV12</stp>
        <stp>AMZN US Equity</stp>
        <stp>BS_CASH_NEAR_CASH_ITEM</stp>
        <stp>FQ1 2006</stp>
        <stp>FQ1 2006</stp>
        <stp>[FA1_j2ahgkxc.xlsx]Bal Sheet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3"/>
      </tp>
      <tp>
        <v>693</v>
        <stp/>
        <stp>##V3_BDHV12</stp>
        <stp>AMZN US Equity</stp>
        <stp>BS_CASH_NEAR_CASH_ITEM</stp>
        <stp>FQ3 2006</stp>
        <stp>FQ3 2006</stp>
        <stp>[FA1_j2ahgkxc.xlsx]Bal Sheet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3"/>
      </tp>
      <tp>
        <v>683</v>
        <stp/>
        <stp>##V3_BDHV12</stp>
        <stp>AMZN US Equity</stp>
        <stp>BS_CASH_NEAR_CASH_ITEM</stp>
        <stp>FQ2 2006</stp>
        <stp>FQ2 2006</stp>
        <stp>[FA1_j2ahgkxc.xlsx]Bal Sheet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3"/>
      </tp>
      <tp>
        <v>2539</v>
        <stp/>
        <stp>##V3_BDHV12</stp>
        <stp>AMZN US Equity</stp>
        <stp>BS_CASH_NEAR_CASH_ITEM</stp>
        <stp>FQ4 2007</stp>
        <stp>FQ4 2007</stp>
        <stp>[FA1_j2ahgkxc.xlsx]Bal Sheet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3"/>
      </tp>
      <tp>
        <v>1496</v>
        <stp/>
        <stp>##V3_BDHV12</stp>
        <stp>AMZN US Equity</stp>
        <stp>BS_CASH_NEAR_CASH_ITEM</stp>
        <stp>FQ1 2008</stp>
        <stp>FQ1 2008</stp>
        <stp>[FA1_j2ahgkxc.xlsx]Bal Sheet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3"/>
      </tp>
      <tp>
        <v>-3.4874999999999998</v>
        <stp/>
        <stp>##V3_BDHV12</stp>
        <stp>AMZN US Equity</stp>
        <stp>BOOK_VAL_PER_SH</stp>
        <stp>FQ4 2002</stp>
        <stp>FQ4 2002</stp>
        <stp>[FA1_j2ahgkxc.xlsx]Per Share!R26C18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6" s="5"/>
      </tp>
      <tp>
        <v>6.2430000000000003</v>
        <stp/>
        <stp>##V3_BDHV12</stp>
        <stp>AMZN US Equity</stp>
        <stp>BOOK_VAL_PER_SH</stp>
        <stp>FQ4 2008</stp>
        <stp>FQ4 2008</stp>
        <stp>[FA1_j2ahgkxc.xlsx]Per Share!R26C42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6" s="5"/>
      </tp>
      <tp>
        <v>-3.2917000000000001</v>
        <stp/>
        <stp>##V3_BDHV12</stp>
        <stp>AMZN US Equity</stp>
        <stp>BOOK_VAL_PER_SH</stp>
        <stp>FQ1 2003</stp>
        <stp>FQ1 2003</stp>
        <stp>[FA1_j2ahgkxc.xlsx]Per Share!R26C19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6" s="5"/>
      </tp>
      <tp>
        <v>7.0499999999999993E-2</v>
        <stp/>
        <stp>##V3_BDHV12</stp>
        <stp>AMZN US Equity</stp>
        <stp>FREE_CASH_FLOW_PER_SH</stp>
        <stp>FQ3 2002</stp>
        <stp>FQ3 2002</stp>
        <stp>[FA1_j2ahgkxc.xlsx]Cash Flow - Standardized!R52C17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2" s="4"/>
      </tp>
      <tp>
        <v>-7.4000000000000003E-3</v>
        <stp/>
        <stp>##V3_BDHV12</stp>
        <stp>AMZN US Equity</stp>
        <stp>FREE_CASH_FLOW_PER_SH</stp>
        <stp>FQ2 2002</stp>
        <stp>FQ2 2002</stp>
        <stp>[FA1_j2ahgkxc.xlsx]Cash Flow - Standardized!R52C16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2" s="4"/>
      </tp>
      <tp>
        <v>-0.65920000000000001</v>
        <stp/>
        <stp>##V3_BDHV12</stp>
        <stp>AMZN US Equity</stp>
        <stp>FREE_CASH_FLOW_PER_SH</stp>
        <stp>FQ1 2002</stp>
        <stp>FQ1 2002</stp>
        <stp>[FA1_j2ahgkxc.xlsx]Cash Flow - Standardized!R52C15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2" s="4"/>
      </tp>
      <tp>
        <v>0</v>
        <stp/>
        <stp>##V3_BDHV12</stp>
        <stp>AMZN US Equity</stp>
        <stp>EQY_DPS</stp>
        <stp>FQ2 1999</stp>
        <stp>FQ2 1999</stp>
        <stp>[FA1_j2ahgkxc.xlsx]Income - Adjusted!R54C5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4" s="2"/>
      </tp>
      <tp>
        <v>1.6707000000000001</v>
        <stp/>
        <stp>##V3_BDHV12</stp>
        <stp>AMZN US Equity</stp>
        <stp>FREE_CASH_FLOW_PER_SH</stp>
        <stp>FQ4 2006</stp>
        <stp>FQ4 2006</stp>
        <stp>[FA1_j2ahgkxc.xlsx]Cash Flow - Standardized!R52C34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2" s="4"/>
      </tp>
      <tp>
        <v>-0.83689999999999998</v>
        <stp/>
        <stp>##V3_BDHV12</stp>
        <stp>AMZN US Equity</stp>
        <stp>FREE_CASH_FLOW_PER_SH</stp>
        <stp>FQ1 2006</stp>
        <stp>FQ1 2006</stp>
        <stp>[FA1_j2ahgkxc.xlsx]Cash Flow - Standardized!R52C31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2" s="4"/>
      </tp>
      <tp>
        <v>0.16309999999999999</v>
        <stp/>
        <stp>##V3_BDHV12</stp>
        <stp>AMZN US Equity</stp>
        <stp>FREE_CASH_FLOW_PER_SH</stp>
        <stp>FQ3 2006</stp>
        <stp>FQ3 2006</stp>
        <stp>[FA1_j2ahgkxc.xlsx]Cash Flow - Standardized!R52C33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2" s="4"/>
      </tp>
      <tp>
        <v>0.17219999999999999</v>
        <stp/>
        <stp>##V3_BDHV12</stp>
        <stp>AMZN US Equity</stp>
        <stp>FREE_CASH_FLOW_PER_SH</stp>
        <stp>FQ2 2006</stp>
        <stp>FQ2 2006</stp>
        <stp>[FA1_j2ahgkxc.xlsx]Cash Flow - Standardized!R52C32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2" s="4"/>
      </tp>
      <tp>
        <v>1.2758</v>
        <stp/>
        <stp>##V3_BDHV12</stp>
        <stp>AMZN US Equity</stp>
        <stp>FREE_CASH_FLOW_PER_SH</stp>
        <stp>FQ4 2004</stp>
        <stp>FQ4 2004</stp>
        <stp>[FA1_j2ahgkxc.xlsx]Cash Flow - Standardized!R52C26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2" s="4"/>
      </tp>
      <tp>
        <v>-0.64480000000000004</v>
        <stp/>
        <stp>##V3_BDHV12</stp>
        <stp>AMZN US Equity</stp>
        <stp>FREE_CASH_FLOW_PER_SH</stp>
        <stp>FQ1 2004</stp>
        <stp>FQ1 2004</stp>
        <stp>[FA1_j2ahgkxc.xlsx]Cash Flow - Standardized!R52C23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2" s="4"/>
      </tp>
      <tp>
        <v>-253.845</v>
        <stp/>
        <stp>##V3_BDHV12</stp>
        <stp>AMZN US Equity</stp>
        <stp>CF_CHNG_NON_CASH_WORK_CAP</stp>
        <stp>FQ1 2002</stp>
        <stp>FQ1 2002</stp>
        <stp>[FA1_j2ahgkxc.xlsx]Cash Flow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4"/>
      </tp>
      <tp>
        <v>12</v>
        <stp/>
        <stp>##V3_BDHV12</stp>
        <stp>AMZN US Equity</stp>
        <stp>CF_CHNG_NON_CASH_WORK_CAP</stp>
        <stp>FQ3 2006</stp>
        <stp>FQ3 2006</stp>
        <stp>[FA1_j2ahgkxc.xlsx]Cash Flow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4"/>
      </tp>
      <tp>
        <v>75</v>
        <stp/>
        <stp>##V3_BDHV12</stp>
        <stp>AMZN US Equity</stp>
        <stp>CF_CHNG_NON_CASH_WORK_CAP</stp>
        <stp>FQ3 2007</stp>
        <stp>FQ3 2007</stp>
        <stp>[FA1_j2ahgkxc.xlsx]Cash Flow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4"/>
      </tp>
      <tp>
        <v>22.856999999999999</v>
        <stp/>
        <stp>##V3_BDHV12</stp>
        <stp>AMZN US Equity</stp>
        <stp>IS_DEPR_EXP</stp>
        <stp>FQ3 2000</stp>
        <stp>FQ3 2000</stp>
        <stp>[FA1_j2ahgkxc.xlsx]Income - Adjusted!R57C9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7" s="2"/>
      </tp>
      <tp>
        <v>48.997</v>
        <stp/>
        <stp>##V3_BDHV12</stp>
        <stp>AMZN US Equity</stp>
        <stp>CF_CHNG_NON_CASH_WORK_CAP</stp>
        <stp>FQ2 2004</stp>
        <stp>FQ2 2004</stp>
        <stp>[FA1_j2ahgkxc.xlsx]Cash Flow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4"/>
      </tp>
      <tp>
        <v>-274.72500000000002</v>
        <stp/>
        <stp>##V3_BDHV12</stp>
        <stp>AMZN US Equity</stp>
        <stp>CF_CHNG_NON_CASH_WORK_CAP</stp>
        <stp>FQ1 2001</stp>
        <stp>FQ1 2001</stp>
        <stp>[FA1_j2ahgkxc.xlsx]Cash Flow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4"/>
      </tp>
      <tp>
        <v>66.492999999999995</v>
        <stp/>
        <stp>##V3_BDHV12</stp>
        <stp>AMZN US Equity</stp>
        <stp>CF_CHNG_NON_CASH_WORK_CAP</stp>
        <stp>FQ2 2003</stp>
        <stp>FQ2 2003</stp>
        <stp>[FA1_j2ahgkxc.xlsx]Cash Flow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4"/>
      </tp>
      <tp>
        <v>111</v>
        <stp/>
        <stp>##V3_BDHV12</stp>
        <stp>AMZN US Equity</stp>
        <stp>CF_CHNG_NON_CASH_WORK_CAP</stp>
        <stp>FQ2 2005</stp>
        <stp>FQ2 2005</stp>
        <stp>[FA1_j2ahgkxc.xlsx]Cash Flow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4"/>
      </tp>
      <tp>
        <v>1157</v>
        <stp/>
        <stp>##V3_BDHV12</stp>
        <stp>AMZN US Equity</stp>
        <stp>CF_CHNG_NON_CASH_WORK_CAP</stp>
        <stp>FQ4 2008</stp>
        <stp>FQ4 2008</stp>
        <stp>[FA1_j2ahgkxc.xlsx]Cash Flow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4"/>
      </tp>
      <tp>
        <v>9.6</v>
        <stp/>
        <stp>##V3_BDHV12</stp>
        <stp>AMZN US Equity</stp>
        <stp>IS_DEPR_EXP</stp>
        <stp>FQ3 1999</stp>
        <stp>FQ3 1999</stp>
        <stp>[FA1_j2ahgkxc.xlsx]Income - Adjusted!R57C6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7" s="2"/>
      </tp>
      <tp>
        <v>-315.77699999999999</v>
        <stp/>
        <stp>##V3_BDHV12</stp>
        <stp>AMZN US Equity</stp>
        <stp>CF_CHNG_NON_CASH_WORK_CAP</stp>
        <stp>FQ1 2003</stp>
        <stp>FQ1 2003</stp>
        <stp>[FA1_j2ahgkxc.xlsx]Cash Flow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4"/>
      </tp>
      <tp>
        <v>7.4</v>
        <stp/>
        <stp>##V3_BDHV12</stp>
        <stp>AMZN US Equity</stp>
        <stp>SHORT_TERM_DEBT_DETAILED</stp>
        <stp>FQ2 2005</stp>
        <stp>FQ2 2005</stp>
        <stp>[FA1_j2ahgkxc.xlsx]Bal Sheet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3"/>
      </tp>
      <tp>
        <v>59</v>
        <stp/>
        <stp>##V3_BDHV12</stp>
        <stp>AMZN US Equity</stp>
        <stp>SHORT_TERM_DEBT_DETAILED</stp>
        <stp>FQ4 2008</stp>
        <stp>FQ4 2008</stp>
        <stp>[FA1_j2ahgkxc.xlsx]Bal Sheet - Standardized!R35C42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3"/>
      </tp>
      <tp>
        <v>2832</v>
        <stp/>
        <stp>##V3_BDHV12</stp>
        <stp>AMZN US Equity</stp>
        <stp>TOT_LIAB_AND_EQY</stp>
        <stp>FQ3 2005</stp>
        <stp>FQ3 2005</stp>
        <stp>[FA1_j2ahgkxc.xlsx]Bal Sheet - Standardized!R55C29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3"/>
      </tp>
      <tp t="s">
        <v>—</v>
        <stp/>
        <stp>##V3_BDHV12</stp>
        <stp>AMZN US Equity</stp>
        <stp>SHORT_TERM_DEBT_DETAILED</stp>
        <stp>FQ1 2003</stp>
        <stp>FQ1 2003</stp>
        <stp>[FA1_j2ahgkxc.xlsx]Bal Sheet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3"/>
      </tp>
      <tp>
        <v>-19</v>
        <stp/>
        <stp>##V3_BDHV12</stp>
        <stp>AMZN US Equity</stp>
        <stp>OTHER_NON_CASH_ADJ_LESS_DETAILED</stp>
        <stp>FQ1 2005</stp>
        <stp>FQ1 2005</stp>
        <stp>[FA1_j2ahgkxc.xlsx]Cash Flow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4"/>
      </tp>
      <tp t="s">
        <v>—</v>
        <stp/>
        <stp>##V3_BDHV12</stp>
        <stp>AMZN US Equity</stp>
        <stp>SHORT_TERM_DEBT_DETAILED</stp>
        <stp>FQ3 2006</stp>
        <stp>FQ3 2006</stp>
        <stp>[FA1_j2ahgkxc.xlsx]Bal Sheet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3"/>
      </tp>
      <tp t="s">
        <v>—</v>
        <stp/>
        <stp>##V3_BDHV12</stp>
        <stp>AMZN US Equity</stp>
        <stp>SHORT_TERM_DEBT_DETAILED</stp>
        <stp>FQ1 2002</stp>
        <stp>FQ1 2002</stp>
        <stp>[FA1_j2ahgkxc.xlsx]Bal Sheet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3"/>
      </tp>
      <tp>
        <v>3165</v>
        <stp/>
        <stp>##V3_BDHV12</stp>
        <stp>AMZN US Equity</stp>
        <stp>TOT_LIAB_AND_EQY</stp>
        <stp>FQ2 2006</stp>
        <stp>FQ2 2006</stp>
        <stp>[FA1_j2ahgkxc.xlsx]Bal Sheet - Standardized!R55C32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3"/>
      </tp>
      <tp>
        <v>0</v>
        <stp/>
        <stp>##V3_BDHV12</stp>
        <stp>AMZN US Equity</stp>
        <stp>EQY_DPS</stp>
        <stp>FQ2 2005</stp>
        <stp>FQ2 2005</stp>
        <stp>[FA1_j2ahgkxc.xlsx]Income - Adjusted!R54C28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4" s="2"/>
      </tp>
      <tp>
        <v>-17.132000000000001</v>
        <stp/>
        <stp>##V3_BDHV12</stp>
        <stp>AMZN US Equity</stp>
        <stp>OTHER_NON_CASH_ADJ_LESS_DETAILED</stp>
        <stp>FQ2 2001</stp>
        <stp>FQ2 2001</stp>
        <stp>[FA1_j2ahgkxc.xlsx]Cash Flow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4"/>
      </tp>
      <tp>
        <v>-13.733000000000001</v>
        <stp/>
        <stp>##V3_BDHV12</stp>
        <stp>AMZN US Equity</stp>
        <stp>OTHER_NON_CASH_ADJ_LESS_DETAILED</stp>
        <stp>FQ1 2004</stp>
        <stp>FQ1 2004</stp>
        <stp>[FA1_j2ahgkxc.xlsx]Cash Flow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4"/>
      </tp>
      <tp>
        <v>94.796999999999997</v>
        <stp/>
        <stp>##V3_BDHV12</stp>
        <stp>AMZN US Equity</stp>
        <stp>OTHER_NON_CASH_ADJ_LESS_DETAILED</stp>
        <stp>FQ2 2002</stp>
        <stp>FQ2 2002</stp>
        <stp>[FA1_j2ahgkxc.xlsx]Cash Flow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4"/>
      </tp>
      <tp t="s">
        <v>—</v>
        <stp/>
        <stp>##V3_BDHV12</stp>
        <stp>AMZN US Equity</stp>
        <stp>SHORT_TERM_DEBT_DETAILED</stp>
        <stp>FQ3 2007</stp>
        <stp>FQ3 2007</stp>
        <stp>[FA1_j2ahgkxc.xlsx]Bal Sheet - Standardized!R35C37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3"/>
      </tp>
      <tp>
        <v>1749.6850999999999</v>
        <stp/>
        <stp>##V3_BDHV12</stp>
        <stp>AMZN US Equity</stp>
        <stp>TOT_LIAB_AND_EQY</stp>
        <stp>FQ3 2003</stp>
        <stp>FQ3 2003</stp>
        <stp>[FA1_j2ahgkxc.xlsx]Bal Sheet - Standardized!R55C21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3"/>
      </tp>
      <tp t="s">
        <v>—</v>
        <stp/>
        <stp>##V3_BDHV12</stp>
        <stp>AMZN US Equity</stp>
        <stp>SHORT_TERM_DEBT_DETAILED</stp>
        <stp>FQ2 2004</stp>
        <stp>FQ2 2004</stp>
        <stp>[FA1_j2ahgkxc.xlsx]Bal Sheet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3"/>
      </tp>
      <tp>
        <v>2108.6682000000001</v>
        <stp/>
        <stp>##V3_BDHV12</stp>
        <stp>AMZN US Equity</stp>
        <stp>TOT_LIAB_AND_EQY</stp>
        <stp>FQ3 2004</stp>
        <stp>FQ3 2004</stp>
        <stp>[FA1_j2ahgkxc.xlsx]Bal Sheet - Standardized!R55C25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3"/>
      </tp>
      <tp t="s">
        <v>—</v>
        <stp/>
        <stp>##V3_BDHV12</stp>
        <stp>AMZN US Equity</stp>
        <stp>SHORT_TERM_DEBT_DETAILED</stp>
        <stp>FQ2 2003</stp>
        <stp>FQ2 2003</stp>
        <stp>[FA1_j2ahgkxc.xlsx]Bal Sheet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3"/>
      </tp>
      <tp t="s">
        <v>—</v>
        <stp/>
        <stp>##V3_BDHV12</stp>
        <stp>AMZN US Equity</stp>
        <stp>SHORT_TERM_DEBT_DETAILED</stp>
        <stp>FQ1 2001</stp>
        <stp>FQ1 2001</stp>
        <stp>[FA1_j2ahgkxc.xlsx]Bal Sheet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3"/>
      </tp>
      <tp>
        <v>3984</v>
        <stp/>
        <stp>##V3_BDHV12</stp>
        <stp>AMZN US Equity</stp>
        <stp>TOT_LIAB_AND_EQY</stp>
        <stp>FQ2 2007</stp>
        <stp>FQ2 2007</stp>
        <stp>[FA1_j2ahgkxc.xlsx]Bal Sheet - Standardized!R55C36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3"/>
      </tp>
      <tp>
        <v>0.34</v>
        <stp/>
        <stp>##V3_BDHV12</stp>
        <stp>AMZN US Equity</stp>
        <stp>IS_BASIC_EPS_CONT_OPS</stp>
        <stp>FQ1 2008</stp>
        <stp>FQ1 2008</stp>
        <stp>[FA1_j2ahgkxc.xlsx]Income - Adjusted!R37C39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7" s="2"/>
      </tp>
      <tp>
        <v>0.18</v>
        <stp/>
        <stp>##V3_BDHV12</stp>
        <stp>AMZN US Equity</stp>
        <stp>IS_BASIC_EPS_CONT_OPS</stp>
        <stp>FQ3 2004</stp>
        <stp>FQ3 2004</stp>
        <stp>[FA1_j2ahgkxc.xlsx]Income - Adjusted!R37C25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7" s="2"/>
      </tp>
      <tp>
        <v>0.19</v>
        <stp/>
        <stp>##V3_BDHV12</stp>
        <stp>AMZN US Equity</stp>
        <stp>IS_BASIC_EPS_CONT_OPS</stp>
        <stp>FQ2 2007</stp>
        <stp>FQ2 2007</stp>
        <stp>[FA1_j2ahgkxc.xlsx]Income - Adjusted!R37C36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7" s="2"/>
      </tp>
      <tp>
        <v>0.31</v>
        <stp/>
        <stp>##V3_BDHV12</stp>
        <stp>AMZN US Equity</stp>
        <stp>IS_BASIC_EPS_CONT_OPS</stp>
        <stp>FQ4 2003</stp>
        <stp>FQ4 2003</stp>
        <stp>[FA1_j2ahgkxc.xlsx]Income - Adjusted!R37C22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7" s="2"/>
      </tp>
      <tp>
        <v>0</v>
        <stp/>
        <stp>##V3_BDHV12</stp>
        <stp>AMZN US Equity</stp>
        <stp>DISP_FXD_&amp;_INTANGIBLES_DETAILED</stp>
        <stp>FQ1 2006</stp>
        <stp>FQ1 2006</stp>
        <stp>[FA1_j2ahgkxc.xlsx]Cash Flow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4"/>
      </tp>
      <tp>
        <v>0</v>
        <stp/>
        <stp>##V3_BDHV12</stp>
        <stp>AMZN US Equity</stp>
        <stp>DISP_FXD_&amp;_INTANGIBLES_DETAILED</stp>
        <stp>FQ3 2002</stp>
        <stp>FQ3 2002</stp>
        <stp>[FA1_j2ahgkxc.xlsx]Cash Flow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4"/>
      </tp>
      <tp>
        <v>0</v>
        <stp/>
        <stp>##V3_BDHV12</stp>
        <stp>AMZN US Equity</stp>
        <stp>DISP_FXD_&amp;_INTANGIBLES_DETAILED</stp>
        <stp>FQ3 2001</stp>
        <stp>FQ3 2001</stp>
        <stp>[FA1_j2ahgkxc.xlsx]Cash Flow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4"/>
      </tp>
      <tp>
        <v>0</v>
        <stp/>
        <stp>##V3_BDHV12</stp>
        <stp>AMZN US Equity</stp>
        <stp>DISP_FXD_&amp;_INTANGIBLES_DETAILED</stp>
        <stp>FQ1 2008</stp>
        <stp>FQ1 2008</stp>
        <stp>[FA1_j2ahgkxc.xlsx]Cash Flow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4"/>
      </tp>
      <tp>
        <v>0</v>
        <stp/>
        <stp>##V3_BDHV12</stp>
        <stp>AMZN US Equity</stp>
        <stp>DISP_FXD_&amp;_INTANGIBLES_DETAILED</stp>
        <stp>FQ1 2007</stp>
        <stp>FQ1 2007</stp>
        <stp>[FA1_j2ahgkxc.xlsx]Cash Flow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4"/>
      </tp>
      <tp>
        <v>0.3705</v>
        <stp/>
        <stp>##V3_BDHV12</stp>
        <stp>AMZN US Equity</stp>
        <stp>CASH_FLOW_PER_SH</stp>
        <stp>FQ3 2005</stp>
        <stp>FQ3 2005</stp>
        <stp>[FA1_j2ahgkxc.xlsx]Per Share!R22C29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2" s="5"/>
      </tp>
      <tp>
        <v>-0.68</v>
        <stp/>
        <stp>##V3_BDHV12</stp>
        <stp>AMZN US Equity</stp>
        <stp>IS_EARN_BEF_XO_ITEMS_PER_SH</stp>
        <stp>FQ3 2000</stp>
        <stp>FQ3 2000</stp>
        <stp>[FA1_j2ahgkxc.xlsx]Per Share!R15C9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5" s="5"/>
      </tp>
      <tp>
        <v>0.82</v>
        <stp/>
        <stp>##V3_BDHV12</stp>
        <stp>AMZN US Equity</stp>
        <stp>IS_DILUTED_EPS</stp>
        <stp>FQ4 2004</stp>
        <stp>FQ4 2004</stp>
        <stp>[FA1_j2ahgkxc.xlsx]Income - Adjusted!R40C26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40" s="2"/>
      </tp>
      <tp>
        <v>0.47</v>
        <stp/>
        <stp>##V3_BDHV12</stp>
        <stp>AMZN US Equity</stp>
        <stp>IS_DILUTED_EPS</stp>
        <stp>FQ4 2005</stp>
        <stp>FQ4 2005</stp>
        <stp>[FA1_j2ahgkxc.xlsx]Income - Adjusted!R40C30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40" s="2"/>
      </tp>
      <tp>
        <v>0.48</v>
        <stp/>
        <stp>##V3_BDHV12</stp>
        <stp>AMZN US Equity</stp>
        <stp>IS_DILUTED_EPS</stp>
        <stp>FQ4 2007</stp>
        <stp>FQ4 2007</stp>
        <stp>[FA1_j2ahgkxc.xlsx]Income - Adjusted!R40C38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40" s="2"/>
      </tp>
      <tp>
        <v>0.23</v>
        <stp/>
        <stp>##V3_BDHV12</stp>
        <stp>AMZN US Equity</stp>
        <stp>IS_DILUTED_EPS</stp>
        <stp>FQ4 2006</stp>
        <stp>FQ4 2006</stp>
        <stp>[FA1_j2ahgkxc.xlsx]Income - Adjusted!R40C34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40" s="2"/>
      </tp>
      <tp>
        <v>0.01</v>
        <stp/>
        <stp>##V3_BDHV12</stp>
        <stp>AMZN US Equity</stp>
        <stp>IS_DILUTED_EPS</stp>
        <stp>FQ4 2002</stp>
        <stp>FQ4 2002</stp>
        <stp>[FA1_j2ahgkxc.xlsx]Income - Adjusted!R40C18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40" s="2"/>
      </tp>
      <tp>
        <v>0.01</v>
        <stp/>
        <stp>##V3_BDHV12</stp>
        <stp>AMZN US Equity</stp>
        <stp>IS_DILUTED_EPS</stp>
        <stp>FQ4 2001</stp>
        <stp>FQ4 2001</stp>
        <stp>[FA1_j2ahgkxc.xlsx]Income - Adjusted!R40C14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40" s="2"/>
      </tp>
      <tp>
        <v>-1.53</v>
        <stp/>
        <stp>##V3_BDHV12</stp>
        <stp>AMZN US Equity</stp>
        <stp>IS_DILUTED_EPS</stp>
        <stp>FQ4 2000</stp>
        <stp>FQ4 2000</stp>
        <stp>[FA1_j2ahgkxc.xlsx]Income - Adjusted!R40C10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40" s="2"/>
      </tp>
      <tp>
        <v>0.17</v>
        <stp/>
        <stp>##V3_BDHV12</stp>
        <stp>AMZN US Equity</stp>
        <stp>IS_DILUTED_EPS</stp>
        <stp>FQ4 2003</stp>
        <stp>FQ4 2003</stp>
        <stp>[FA1_j2ahgkxc.xlsx]Income - Adjusted!R40C22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40" s="2"/>
      </tp>
      <tp>
        <v>0.52</v>
        <stp/>
        <stp>##V3_BDHV12</stp>
        <stp>AMZN US Equity</stp>
        <stp>IS_DILUTED_EPS</stp>
        <stp>FQ4 2008</stp>
        <stp>FQ4 2008</stp>
        <stp>[FA1_j2ahgkxc.xlsx]Income - Adjusted!R40C42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40" s="2"/>
      </tp>
      <tp>
        <v>-0.47</v>
        <stp/>
        <stp>##V3_BDHV12</stp>
        <stp>AMZN US Equity</stp>
        <stp>IS_DILUTED_EPS</stp>
        <stp>FQ2 2001</stp>
        <stp>FQ2 2001</stp>
        <stp>[FA1_j2ahgkxc.xlsx]Income - Adjusted!R40C12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40" s="2"/>
      </tp>
      <tp>
        <v>-0.11</v>
        <stp/>
        <stp>##V3_BDHV12</stp>
        <stp>AMZN US Equity</stp>
        <stp>IS_DILUTED_EPS</stp>
        <stp>FQ2 2003</stp>
        <stp>FQ2 2003</stp>
        <stp>[FA1_j2ahgkxc.xlsx]Income - Adjusted!R40C20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40" s="2"/>
      </tp>
      <tp>
        <v>-0.25</v>
        <stp/>
        <stp>##V3_BDHV12</stp>
        <stp>AMZN US Equity</stp>
        <stp>IS_DILUTED_EPS</stp>
        <stp>FQ2 2002</stp>
        <stp>FQ2 2002</stp>
        <stp>[FA1_j2ahgkxc.xlsx]Income - Adjusted!R40C16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40" s="2"/>
      </tp>
      <tp>
        <v>0.19</v>
        <stp/>
        <stp>##V3_BDHV12</stp>
        <stp>AMZN US Equity</stp>
        <stp>IS_DILUTED_EPS</stp>
        <stp>FQ2 2007</stp>
        <stp>FQ2 2007</stp>
        <stp>[FA1_j2ahgkxc.xlsx]Income - Adjusted!R40C36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40" s="2"/>
      </tp>
      <tp>
        <v>0.05</v>
        <stp/>
        <stp>##V3_BDHV12</stp>
        <stp>AMZN US Equity</stp>
        <stp>IS_DILUTED_EPS</stp>
        <stp>FQ2 2006</stp>
        <stp>FQ2 2006</stp>
        <stp>[FA1_j2ahgkxc.xlsx]Income - Adjusted!R40C32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40" s="2"/>
      </tp>
      <tp>
        <v>0.18</v>
        <stp/>
        <stp>##V3_BDHV12</stp>
        <stp>AMZN US Equity</stp>
        <stp>IS_DILUTED_EPS</stp>
        <stp>FQ2 2004</stp>
        <stp>FQ2 2004</stp>
        <stp>[FA1_j2ahgkxc.xlsx]Income - Adjusted!R40C24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40" s="2"/>
      </tp>
      <tp>
        <v>0.12</v>
        <stp/>
        <stp>##V3_BDHV12</stp>
        <stp>AMZN US Equity</stp>
        <stp>IS_DILUTED_EPS</stp>
        <stp>FQ2 2005</stp>
        <stp>FQ2 2005</stp>
        <stp>[FA1_j2ahgkxc.xlsx]Income - Adjusted!R40C28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40" s="2"/>
      </tp>
      <tp>
        <v>0.37</v>
        <stp/>
        <stp>##V3_BDHV12</stp>
        <stp>AMZN US Equity</stp>
        <stp>IS_DILUTED_EPS</stp>
        <stp>FQ2 2008</stp>
        <stp>FQ2 2008</stp>
        <stp>[FA1_j2ahgkxc.xlsx]Income - Adjusted!R40C40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40" s="2"/>
      </tp>
      <tp>
        <v>0.04</v>
        <stp/>
        <stp>##V3_BDHV12</stp>
        <stp>AMZN US Equity</stp>
        <stp>IS_DILUTED_EPS</stp>
        <stp>FQ3 2003</stp>
        <stp>FQ3 2003</stp>
        <stp>[FA1_j2ahgkxc.xlsx]Income - Adjusted!R40C21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40" s="2"/>
      </tp>
      <tp>
        <v>-0.46</v>
        <stp/>
        <stp>##V3_BDHV12</stp>
        <stp>AMZN US Equity</stp>
        <stp>IS_DILUTED_EPS</stp>
        <stp>FQ3 2001</stp>
        <stp>FQ3 2001</stp>
        <stp>[FA1_j2ahgkxc.xlsx]Income - Adjusted!R40C13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40" s="2"/>
      </tp>
      <tp>
        <v>-0.09</v>
        <stp/>
        <stp>##V3_BDHV12</stp>
        <stp>AMZN US Equity</stp>
        <stp>IS_DILUTED_EPS</stp>
        <stp>FQ3 2002</stp>
        <stp>FQ3 2002</stp>
        <stp>[FA1_j2ahgkxc.xlsx]Income - Adjusted!R40C17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40" s="2"/>
      </tp>
      <tp>
        <v>0.05</v>
        <stp/>
        <stp>##V3_BDHV12</stp>
        <stp>AMZN US Equity</stp>
        <stp>IS_DILUTED_EPS</stp>
        <stp>FQ3 2006</stp>
        <stp>FQ3 2006</stp>
        <stp>[FA1_j2ahgkxc.xlsx]Income - Adjusted!R40C33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40" s="2"/>
      </tp>
      <tp>
        <v>0.19</v>
        <stp/>
        <stp>##V3_BDHV12</stp>
        <stp>AMZN US Equity</stp>
        <stp>IS_DILUTED_EPS</stp>
        <stp>FQ3 2007</stp>
        <stp>FQ3 2007</stp>
        <stp>[FA1_j2ahgkxc.xlsx]Income - Adjusted!R40C37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40" s="2"/>
      </tp>
      <tp>
        <v>7.0000000000000007E-2</v>
        <stp/>
        <stp>##V3_BDHV12</stp>
        <stp>AMZN US Equity</stp>
        <stp>IS_DILUTED_EPS</stp>
        <stp>FQ3 2005</stp>
        <stp>FQ3 2005</stp>
        <stp>[FA1_j2ahgkxc.xlsx]Income - Adjusted!R40C29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40" s="2"/>
      </tp>
      <tp>
        <v>0.13</v>
        <stp/>
        <stp>##V3_BDHV12</stp>
        <stp>AMZN US Equity</stp>
        <stp>IS_DILUTED_EPS</stp>
        <stp>FQ3 2004</stp>
        <stp>FQ3 2004</stp>
        <stp>[FA1_j2ahgkxc.xlsx]Income - Adjusted!R40C25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40" s="2"/>
      </tp>
      <tp>
        <v>0.27</v>
        <stp/>
        <stp>##V3_BDHV12</stp>
        <stp>AMZN US Equity</stp>
        <stp>IS_DILUTED_EPS</stp>
        <stp>FQ3 2008</stp>
        <stp>FQ3 2008</stp>
        <stp>[FA1_j2ahgkxc.xlsx]Income - Adjusted!R40C41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40" s="2"/>
      </tp>
      <tp>
        <v>-0.06</v>
        <stp/>
        <stp>##V3_BDHV12</stp>
        <stp>AMZN US Equity</stp>
        <stp>IS_DILUTED_EPS</stp>
        <stp>FQ1 2002</stp>
        <stp>FQ1 2002</stp>
        <stp>[FA1_j2ahgkxc.xlsx]Income - Adjusted!R40C15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40" s="2"/>
      </tp>
      <tp>
        <v>-0.03</v>
        <stp/>
        <stp>##V3_BDHV12</stp>
        <stp>AMZN US Equity</stp>
        <stp>IS_DILUTED_EPS</stp>
        <stp>FQ1 2003</stp>
        <stp>FQ1 2003</stp>
        <stp>[FA1_j2ahgkxc.xlsx]Income - Adjusted!R40C19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40" s="2"/>
      </tp>
      <tp>
        <v>-0.66</v>
        <stp/>
        <stp>##V3_BDHV12</stp>
        <stp>AMZN US Equity</stp>
        <stp>IS_DILUTED_EPS</stp>
        <stp>FQ1 2001</stp>
        <stp>FQ1 2001</stp>
        <stp>[FA1_j2ahgkxc.xlsx]Income - Adjusted!R40C11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40" s="2"/>
      </tp>
      <tp>
        <v>0.18</v>
        <stp/>
        <stp>##V3_BDHV12</stp>
        <stp>AMZN US Equity</stp>
        <stp>IS_DILUTED_EPS</stp>
        <stp>FQ1 2005</stp>
        <stp>FQ1 2005</stp>
        <stp>[FA1_j2ahgkxc.xlsx]Income - Adjusted!R40C27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40" s="2"/>
      </tp>
      <tp>
        <v>0.26</v>
        <stp/>
        <stp>##V3_BDHV12</stp>
        <stp>AMZN US Equity</stp>
        <stp>IS_DILUTED_EPS</stp>
        <stp>FQ1 2004</stp>
        <stp>FQ1 2004</stp>
        <stp>[FA1_j2ahgkxc.xlsx]Income - Adjusted!R40C23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40" s="2"/>
      </tp>
      <tp>
        <v>0.12</v>
        <stp/>
        <stp>##V3_BDHV12</stp>
        <stp>AMZN US Equity</stp>
        <stp>IS_DILUTED_EPS</stp>
        <stp>FQ1 2006</stp>
        <stp>FQ1 2006</stp>
        <stp>[FA1_j2ahgkxc.xlsx]Income - Adjusted!R40C31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40" s="2"/>
      </tp>
      <tp>
        <v>0.26</v>
        <stp/>
        <stp>##V3_BDHV12</stp>
        <stp>AMZN US Equity</stp>
        <stp>IS_DILUTED_EPS</stp>
        <stp>FQ1 2007</stp>
        <stp>FQ1 2007</stp>
        <stp>[FA1_j2ahgkxc.xlsx]Income - Adjusted!R40C35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40" s="2"/>
      </tp>
      <tp>
        <v>0.34</v>
        <stp/>
        <stp>##V3_BDHV12</stp>
        <stp>AMZN US Equity</stp>
        <stp>IS_DILUTED_EPS</stp>
        <stp>FQ1 2008</stp>
        <stp>FQ1 2008</stp>
        <stp>[FA1_j2ahgkxc.xlsx]Income - Adjusted!R40C39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40" s="2"/>
      </tp>
      <tp t="s">
        <v>—</v>
        <stp/>
        <stp>##V3_BDHV12</stp>
        <stp>AMZN US Equity</stp>
        <stp>IS_SG&amp;A_EXPENSE</stp>
        <stp>FQ4 1999</stp>
        <stp>FQ4 1999</stp>
        <stp>[FA1_j2ahgkxc.xlsx]Income - Adjusted!R10C7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0</v>
        <stp/>
        <stp>##V3_BDHV12</stp>
        <stp>AMZN US Equity</stp>
        <stp>CF_INCR_INVEST</stp>
        <stp>FQ1 1999</stp>
        <stp>FQ1 1999</stp>
        <stp>[FA1_j2ahgkxc.xlsx]Cash Flow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4"/>
      </tp>
      <tp>
        <v>0</v>
        <stp/>
        <stp>##V3_BDHV12</stp>
        <stp>AMZN US Equity</stp>
        <stp>CF_INCR_INVEST</stp>
        <stp>FQ4 1999</stp>
        <stp>FQ4 1999</stp>
        <stp>[FA1_j2ahgkxc.xlsx]Cash Flow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4"/>
      </tp>
      <tp t="s">
        <v>—</v>
        <stp/>
        <stp>##V3_BDHV12</stp>
        <stp>AMZN US Equity</stp>
        <stp>BS_OPTIONS_GRANTED</stp>
        <stp>FQ4 2008</stp>
        <stp>FQ4 2008</stp>
        <stp>[FA1_j2ahgkxc.xlsx]Bal Sheet - Standardized!R63C42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3" s="3"/>
      </tp>
      <tp>
        <v>0</v>
        <stp/>
        <stp>##V3_BDHV12</stp>
        <stp>AMZN US Equity</stp>
        <stp>CF_INCR_INVEST</stp>
        <stp>FQ2 1999</stp>
        <stp>FQ2 1999</stp>
        <stp>[FA1_j2ahgkxc.xlsx]Cash Flow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4"/>
      </tp>
      <tp>
        <v>0</v>
        <stp/>
        <stp>##V3_BDHV12</stp>
        <stp>AMZN US Equity</stp>
        <stp>CF_INCR_INVEST</stp>
        <stp>FQ3 1999</stp>
        <stp>FQ3 1999</stp>
        <stp>[FA1_j2ahgkxc.xlsx]Cash Flow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4"/>
      </tp>
      <tp t="s">
        <v>—</v>
        <stp/>
        <stp>##V3_BDHV12</stp>
        <stp>AMZN US Equity</stp>
        <stp>BS_OPTIONS_GRANTED</stp>
        <stp>FQ4 2002</stp>
        <stp>FQ4 2002</stp>
        <stp>[FA1_j2ahgkxc.xlsx]Bal Sheet - Standardized!R63C18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3" s="3"/>
      </tp>
      <tp>
        <v>207</v>
        <stp/>
        <stp>##V3_BDHV12</stp>
        <stp>AMZN US Equity</stp>
        <stp>EBITDA</stp>
        <stp>FQ1 2007</stp>
        <stp>FQ1 2007</stp>
        <stp>[FA1_j2ahgkxc.xlsx]Cash Flow - Standardized!R45C35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5" s="4"/>
      </tp>
      <tp>
        <v>176</v>
        <stp/>
        <stp>##V3_BDHV12</stp>
        <stp>AMZN US Equity</stp>
        <stp>EBITDA</stp>
        <stp>FQ2 2007</stp>
        <stp>FQ2 2007</stp>
        <stp>[FA1_j2ahgkxc.xlsx]Cash Flow - Standardized!R45C36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5" s="4"/>
      </tp>
      <tp>
        <v>184</v>
        <stp/>
        <stp>##V3_BDHV12</stp>
        <stp>AMZN US Equity</stp>
        <stp>EBITDA</stp>
        <stp>FQ3 2007</stp>
        <stp>FQ3 2007</stp>
        <stp>[FA1_j2ahgkxc.xlsx]Cash Flow - Standardized!R45C37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45" s="4"/>
      </tp>
      <tp>
        <v>136</v>
        <stp/>
        <stp>##V3_BDHV12</stp>
        <stp>AMZN US Equity</stp>
        <stp>EBITDA</stp>
        <stp>FQ1 2005</stp>
        <stp>FQ1 2005</stp>
        <stp>[FA1_j2ahgkxc.xlsx]Cash Flow - Standardized!R45C27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5" s="4"/>
      </tp>
      <tp>
        <v>-8.5950000000000006</v>
        <stp/>
        <stp>##V3_BDHV12</stp>
        <stp>AMZN US Equity</stp>
        <stp>OTHER_INVESTING_ACT_DETAILED</stp>
        <stp>FQ2 2000</stp>
        <stp>FQ2 2000</stp>
        <stp>[FA1_j2ahgkxc.xlsx]Cash Flow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4"/>
      </tp>
      <tp>
        <v>-5.76</v>
        <stp/>
        <stp>##V3_BDHV12</stp>
        <stp>AMZN US Equity</stp>
        <stp>OTHER_INVESTING_ACT_DETAILED</stp>
        <stp>FQ3 2000</stp>
        <stp>FQ3 2000</stp>
        <stp>[FA1_j2ahgkxc.xlsx]Cash Flow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4"/>
      </tp>
      <tp>
        <v>0</v>
        <stp/>
        <stp>##V3_BDHV12</stp>
        <stp>AMZN US Equity</stp>
        <stp>CF_CASH_PAID_FOR_TAX</stp>
        <stp>FQ2 2000</stp>
        <stp>FQ2 2000</stp>
        <stp>[FA1_j2ahgkxc.xlsx]Cash Flow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4"/>
      </tp>
      <tp>
        <v>0</v>
        <stp/>
        <stp>##V3_BDHV12</stp>
        <stp>AMZN US Equity</stp>
        <stp>CF_CASH_PAID_FOR_TAX</stp>
        <stp>FQ3 2000</stp>
        <stp>FQ3 2000</stp>
        <stp>[FA1_j2ahgkxc.xlsx]Cash Flow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4"/>
      </tp>
      <tp>
        <v>1.1552</v>
        <stp/>
        <stp>##V3_BDHV12</stp>
        <stp>AMZN US Equity</stp>
        <stp>FREE_CASH_FLOW_PER_SH</stp>
        <stp>FQ4 2003</stp>
        <stp>FQ4 2003</stp>
        <stp>[FA1_j2ahgkxc.xlsx]Cash Flow - Standardized!R52C22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2" s="4"/>
      </tp>
      <tp>
        <v>5.8903999999999996</v>
        <stp/>
        <stp>##V3_BDHV12</stp>
        <stp>AMZN US Equity</stp>
        <stp>BOOK_VAL_PER_SH</stp>
        <stp>FQ3 2008</stp>
        <stp>FQ3 2008</stp>
        <stp>[FA1_j2ahgkxc.xlsx]Per Share!R26C41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6" s="5"/>
      </tp>
      <tp>
        <v>-47.487000000000002</v>
        <stp/>
        <stp>##V3_BDHV12</stp>
        <stp>AMZN US Equity</stp>
        <stp>OTHER_INVESTING_ACT_DETAILED</stp>
        <stp>FQ1 2000</stp>
        <stp>FQ1 2000</stp>
        <stp>[FA1_j2ahgkxc.xlsx]Cash Flow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4"/>
      </tp>
      <tp>
        <v>0</v>
        <stp/>
        <stp>##V3_BDHV12</stp>
        <stp>AMZN US Equity</stp>
        <stp>CF_CASH_PAID_FOR_TAX</stp>
        <stp>FQ1 2000</stp>
        <stp>FQ1 2000</stp>
        <stp>[FA1_j2ahgkxc.xlsx]Cash Flow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4"/>
      </tp>
      <tp>
        <v>46</v>
        <stp/>
        <stp>##V3_BDHV12</stp>
        <stp>AMZN US Equity</stp>
        <stp>CF_CHNG_NON_CASH_WORK_CAP</stp>
        <stp>FQ2 2006</stp>
        <stp>FQ2 2006</stp>
        <stp>[FA1_j2ahgkxc.xlsx]Cash Flow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4"/>
      </tp>
      <tp>
        <v>144</v>
        <stp/>
        <stp>##V3_BDHV12</stp>
        <stp>AMZN US Equity</stp>
        <stp>CF_CHNG_NON_CASH_WORK_CAP</stp>
        <stp>FQ2 2007</stp>
        <stp>FQ2 2007</stp>
        <stp>[FA1_j2ahgkxc.xlsx]Cash Flow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4"/>
      </tp>
      <tp>
        <v>22.835000000000001</v>
        <stp/>
        <stp>##V3_BDHV12</stp>
        <stp>AMZN US Equity</stp>
        <stp>CF_CHNG_NON_CASH_WORK_CAP</stp>
        <stp>FQ3 2004</stp>
        <stp>FQ3 2004</stp>
        <stp>[FA1_j2ahgkxc.xlsx]Cash Flow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4"/>
      </tp>
      <tp>
        <v>-31.15</v>
        <stp/>
        <stp>##V3_BDHV12</stp>
        <stp>AMZN US Equity</stp>
        <stp>CF_CHNG_NON_CASH_WORK_CAP</stp>
        <stp>FQ3 2003</stp>
        <stp>FQ3 2003</stp>
        <stp>[FA1_j2ahgkxc.xlsx]Cash Flow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4"/>
      </tp>
      <tp>
        <v>8.1020000000000003</v>
        <stp/>
        <stp>##V3_BDHV12</stp>
        <stp>AMZN US Equity</stp>
        <stp>IS_DEPR_EXP</stp>
        <stp>FQ2 1999</stp>
        <stp>FQ2 1999</stp>
        <stp>[FA1_j2ahgkxc.xlsx]Income - Adjusted!R57C5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7" s="2"/>
      </tp>
      <tp>
        <v>49</v>
        <stp/>
        <stp>##V3_BDHV12</stp>
        <stp>AMZN US Equity</stp>
        <stp>CF_CHNG_NON_CASH_WORK_CAP</stp>
        <stp>FQ3 2005</stp>
        <stp>FQ3 2005</stp>
        <stp>[FA1_j2ahgkxc.xlsx]Cash Flow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4"/>
      </tp>
      <tp>
        <v>16.7</v>
        <stp/>
        <stp>##V3_BDHV12</stp>
        <stp>AMZN US Equity</stp>
        <stp>SHORT_TERM_DEBT_DETAILED</stp>
        <stp>FQ3 2005</stp>
        <stp>FQ3 2005</stp>
        <stp>[FA1_j2ahgkxc.xlsx]Bal Sheet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3"/>
      </tp>
      <tp>
        <v>8314</v>
        <stp/>
        <stp>##V3_BDHV12</stp>
        <stp>AMZN US Equity</stp>
        <stp>TOT_LIAB_AND_EQY</stp>
        <stp>FQ4 2008</stp>
        <stp>FQ4 2008</stp>
        <stp>[FA1_j2ahgkxc.xlsx]Bal Sheet - Standardized!R55C42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3"/>
      </tp>
      <tp>
        <v>2601</v>
        <stp/>
        <stp>##V3_BDHV12</stp>
        <stp>AMZN US Equity</stp>
        <stp>TOT_LIAB_AND_EQY</stp>
        <stp>FQ2 2005</stp>
        <stp>FQ2 2005</stp>
        <stp>[FA1_j2ahgkxc.xlsx]Bal Sheet - Standardized!R55C28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3"/>
      </tp>
      <tp>
        <v>1705.933</v>
        <stp/>
        <stp>##V3_BDHV12</stp>
        <stp>AMZN US Equity</stp>
        <stp>TOT_LIAB_AND_EQY</stp>
        <stp>FQ1 2003</stp>
        <stp>FQ1 2003</stp>
        <stp>[FA1_j2ahgkxc.xlsx]Bal Sheet - Standardized!R55C19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3"/>
      </tp>
      <tp>
        <v>13</v>
        <stp/>
        <stp>##V3_BDHV12</stp>
        <stp>AMZN US Equity</stp>
        <stp>OTHER_NON_CASH_ADJ_LESS_DETAILED</stp>
        <stp>FQ1 2007</stp>
        <stp>FQ1 2007</stp>
        <stp>[FA1_j2ahgkxc.xlsx]Cash Flow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4"/>
      </tp>
      <tp t="s">
        <v>—</v>
        <stp/>
        <stp>##V3_BDHV12</stp>
        <stp>AMZN US Equity</stp>
        <stp>SHORT_TERM_DEBT_DETAILED</stp>
        <stp>FQ2 2006</stp>
        <stp>FQ2 2006</stp>
        <stp>[FA1_j2ahgkxc.xlsx]Bal Sheet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3"/>
      </tp>
      <tp>
        <v>-8</v>
        <stp/>
        <stp>##V3_BDHV12</stp>
        <stp>AMZN US Equity</stp>
        <stp>OTHER_NON_CASH_ADJ_LESS_DETAILED</stp>
        <stp>FQ1 2008</stp>
        <stp>FQ1 2008</stp>
        <stp>[FA1_j2ahgkxc.xlsx]Cash Flow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4"/>
      </tp>
      <tp>
        <v>3268</v>
        <stp/>
        <stp>##V3_BDHV12</stp>
        <stp>AMZN US Equity</stp>
        <stp>TOT_LIAB_AND_EQY</stp>
        <stp>FQ3 2006</stp>
        <stp>FQ3 2006</stp>
        <stp>[FA1_j2ahgkxc.xlsx]Bal Sheet - Standardized!R55C33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3"/>
      </tp>
      <tp>
        <v>1361.9280000000001</v>
        <stp/>
        <stp>##V3_BDHV12</stp>
        <stp>AMZN US Equity</stp>
        <stp>TOT_LIAB_AND_EQY</stp>
        <stp>FQ1 2002</stp>
        <stp>FQ1 2002</stp>
        <stp>[FA1_j2ahgkxc.xlsx]Bal Sheet - Standardized!R55C15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3"/>
      </tp>
      <tp>
        <v>0</v>
        <stp/>
        <stp>##V3_BDHV12</stp>
        <stp>AMZN US Equity</stp>
        <stp>EQY_DPS</stp>
        <stp>FQ3 2005</stp>
        <stp>FQ3 2005</stp>
        <stp>[FA1_j2ahgkxc.xlsx]Income - Adjusted!R54C29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4" s="2"/>
      </tp>
      <tp>
        <v>43.304000000000002</v>
        <stp/>
        <stp>##V3_BDHV12</stp>
        <stp>AMZN US Equity</stp>
        <stp>OTHER_NON_CASH_ADJ_LESS_DETAILED</stp>
        <stp>FQ3 2001</stp>
        <stp>FQ3 2001</stp>
        <stp>[FA1_j2ahgkxc.xlsx]Cash Flow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4"/>
      </tp>
      <tp>
        <v>20</v>
        <stp/>
        <stp>##V3_BDHV12</stp>
        <stp>AMZN US Equity</stp>
        <stp>OTHER_NON_CASH_ADJ_LESS_DETAILED</stp>
        <stp>FQ1 2006</stp>
        <stp>FQ1 2006</stp>
        <stp>[FA1_j2ahgkxc.xlsx]Cash Flow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4"/>
      </tp>
      <tp>
        <v>4.7249999999999996</v>
        <stp/>
        <stp>##V3_BDHV12</stp>
        <stp>AMZN US Equity</stp>
        <stp>OTHER_NON_CASH_ADJ_LESS_DETAILED</stp>
        <stp>FQ3 2002</stp>
        <stp>FQ3 2002</stp>
        <stp>[FA1_j2ahgkxc.xlsx]Cash Flow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4"/>
      </tp>
      <tp t="s">
        <v>—</v>
        <stp/>
        <stp>##V3_BDHV12</stp>
        <stp>AMZN US Equity</stp>
        <stp>SHORT_TERM_DEBT_DETAILED</stp>
        <stp>FQ2 2007</stp>
        <stp>FQ2 2007</stp>
        <stp>[FA1_j2ahgkxc.xlsx]Bal Sheet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3"/>
      </tp>
      <tp>
        <v>1470.155</v>
        <stp/>
        <stp>##V3_BDHV12</stp>
        <stp>AMZN US Equity</stp>
        <stp>TOT_LIAB_AND_EQY</stp>
        <stp>FQ1 2001</stp>
        <stp>FQ1 2001</stp>
        <stp>[FA1_j2ahgkxc.xlsx]Bal Sheet - Standardized!R55C11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3"/>
      </tp>
      <tp>
        <v>1596.8539000000001</v>
        <stp/>
        <stp>##V3_BDHV12</stp>
        <stp>AMZN US Equity</stp>
        <stp>TOT_LIAB_AND_EQY</stp>
        <stp>FQ2 2003</stp>
        <stp>FQ2 2003</stp>
        <stp>[FA1_j2ahgkxc.xlsx]Bal Sheet - Standardized!R55C20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3"/>
      </tp>
      <tp t="s">
        <v>—</v>
        <stp/>
        <stp>##V3_BDHV12</stp>
        <stp>AMZN US Equity</stp>
        <stp>SHORT_TERM_DEBT_DETAILED</stp>
        <stp>FQ3 2004</stp>
        <stp>FQ3 2004</stp>
        <stp>[FA1_j2ahgkxc.xlsx]Bal Sheet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3"/>
      </tp>
      <tp>
        <v>1888.11</v>
        <stp/>
        <stp>##V3_BDHV12</stp>
        <stp>AMZN US Equity</stp>
        <stp>TOT_LIAB_AND_EQY</stp>
        <stp>FQ2 2004</stp>
        <stp>FQ2 2004</stp>
        <stp>[FA1_j2ahgkxc.xlsx]Bal Sheet - Standardized!R55C24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3"/>
      </tp>
      <tp t="s">
        <v>—</v>
        <stp/>
        <stp>##V3_BDHV12</stp>
        <stp>AMZN US Equity</stp>
        <stp>SHORT_TERM_DEBT_DETAILED</stp>
        <stp>FQ3 2003</stp>
        <stp>FQ3 2003</stp>
        <stp>[FA1_j2ahgkxc.xlsx]Bal Sheet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3"/>
      </tp>
      <tp>
        <v>4618</v>
        <stp/>
        <stp>##V3_BDHV12</stp>
        <stp>AMZN US Equity</stp>
        <stp>TOT_LIAB_AND_EQY</stp>
        <stp>FQ3 2007</stp>
        <stp>FQ3 2007</stp>
        <stp>[FA1_j2ahgkxc.xlsx]Bal Sheet - Standardized!R55C37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3"/>
      </tp>
      <tp>
        <v>407.05599999999998</v>
        <stp/>
        <stp>##V3_BDHV12</stp>
        <stp>AMZN US Equity</stp>
        <stp>IS_SH_FOR_DILUTED_EPS</stp>
        <stp>FQ4 2002</stp>
        <stp>FQ4 2002</stp>
        <stp>[FA1_j2ahgkxc.xlsx]Income - Adjusted!R39C18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9" s="2"/>
      </tp>
      <tp>
        <v>436</v>
        <stp/>
        <stp>##V3_BDHV12</stp>
        <stp>AMZN US Equity</stp>
        <stp>IS_SH_FOR_DILUTED_EPS</stp>
        <stp>FQ4 2008</stp>
        <stp>FQ4 2008</stp>
        <stp>[FA1_j2ahgkxc.xlsx]Income - Adjusted!R39C42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9" s="2"/>
      </tp>
      <tp>
        <v>411.09100000000001</v>
        <stp/>
        <stp>##V3_BDHV12</stp>
        <stp>AMZN US Equity</stp>
        <stp>IS_SH_FOR_DILUTED_EPS</stp>
        <stp>FQ1 2003</stp>
        <stp>FQ1 2003</stp>
        <stp>[FA1_j2ahgkxc.xlsx]Income - Adjusted!R39C19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9" s="2"/>
      </tp>
      <tp>
        <v>-0.21</v>
        <stp/>
        <stp>##V3_BDHV12</stp>
        <stp>AMZN US Equity</stp>
        <stp>IS_BASIC_EPS_CONT_OPS</stp>
        <stp>FQ1 2001</stp>
        <stp>FQ1 2001</stp>
        <stp>[FA1_j2ahgkxc.xlsx]Income - Adjusted!R37C11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7" s="2"/>
      </tp>
      <tp>
        <v>0.19</v>
        <stp/>
        <stp>##V3_BDHV12</stp>
        <stp>AMZN US Equity</stp>
        <stp>IS_BASIC_EPS_CONT_OPS</stp>
        <stp>FQ3 2007</stp>
        <stp>FQ3 2007</stp>
        <stp>[FA1_j2ahgkxc.xlsx]Income - Adjusted!R37C37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7" s="2"/>
      </tp>
      <tp>
        <v>0.18</v>
        <stp/>
        <stp>##V3_BDHV12</stp>
        <stp>AMZN US Equity</stp>
        <stp>IS_BASIC_EPS_CONT_OPS</stp>
        <stp>FQ2 2004</stp>
        <stp>FQ2 2004</stp>
        <stp>[FA1_j2ahgkxc.xlsx]Income - Adjusted!R37C24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7" s="2"/>
      </tp>
      <tp>
        <v>-0.25</v>
        <stp/>
        <stp>##V3_BDHV12</stp>
        <stp>AMZN US Equity</stp>
        <stp>IS_BASIC_EPS_CONT_OPS</stp>
        <stp>FQ4 2000</stp>
        <stp>FQ4 2000</stp>
        <stp>[FA1_j2ahgkxc.xlsx]Income - Adjusted!R37C10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7" s="2"/>
      </tp>
      <tp>
        <v>0</v>
        <stp/>
        <stp>##V3_BDHV12</stp>
        <stp>AMZN US Equity</stp>
        <stp>DISP_FXD_&amp;_INTANGIBLES_DETAILED</stp>
        <stp>FQ1 2004</stp>
        <stp>FQ1 2004</stp>
        <stp>[FA1_j2ahgkxc.xlsx]Cash Flow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4"/>
      </tp>
      <tp>
        <v>0</v>
        <stp/>
        <stp>##V3_BDHV12</stp>
        <stp>AMZN US Equity</stp>
        <stp>DISP_FXD_&amp;_INTANGIBLES_DETAILED</stp>
        <stp>FQ2 2002</stp>
        <stp>FQ2 2002</stp>
        <stp>[FA1_j2ahgkxc.xlsx]Cash Flow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4"/>
      </tp>
      <tp>
        <v>0</v>
        <stp/>
        <stp>##V3_BDHV12</stp>
        <stp>AMZN US Equity</stp>
        <stp>DISP_FXD_&amp;_INTANGIBLES_DETAILED</stp>
        <stp>FQ2 2001</stp>
        <stp>FQ2 2001</stp>
        <stp>[FA1_j2ahgkxc.xlsx]Cash Flow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4"/>
      </tp>
      <tp>
        <v>0</v>
        <stp/>
        <stp>##V3_BDHV12</stp>
        <stp>AMZN US Equity</stp>
        <stp>DISP_FXD_&amp;_INTANGIBLES_DETAILED</stp>
        <stp>FQ1 2005</stp>
        <stp>FQ1 2005</stp>
        <stp>[FA1_j2ahgkxc.xlsx]Cash Flow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4"/>
      </tp>
      <tp>
        <v>0.59370000000000001</v>
        <stp/>
        <stp>##V3_BDHV12</stp>
        <stp>AMZN US Equity</stp>
        <stp>CASH_FLOW_PER_SH</stp>
        <stp>FQ2 2005</stp>
        <stp>FQ2 2005</stp>
        <stp>[FA1_j2ahgkxc.xlsx]Per Share!R22C28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2" s="5"/>
      </tp>
      <tp>
        <v>380.34500000000003</v>
        <stp/>
        <stp>##V3_BDHV12</stp>
        <stp>AMZN US Equity</stp>
        <stp>CF_DECR_INVEST</stp>
        <stp>FQ1 2000</stp>
        <stp>FQ1 2000</stp>
        <stp>[FA1_j2ahgkxc.xlsx]Cash Flow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4"/>
      </tp>
      <tp>
        <v>0</v>
        <stp/>
        <stp>##V3_BDHV12</stp>
        <stp>AMZN US Equity</stp>
        <stp>BS_PFD_EQTY_&amp;_HYBRID_CPTL</stp>
        <stp>FQ3 1999</stp>
        <stp>FQ3 1999</stp>
        <stp>[FA1_j2ahgkxc.xlsx]Bal Sheet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3"/>
      </tp>
      <tp>
        <v>0</v>
        <stp/>
        <stp>##V3_BDHV12</stp>
        <stp>AMZN US Equity</stp>
        <stp>BS_PFD_EQTY_&amp;_HYBRID_CPTL</stp>
        <stp>FQ1 1999</stp>
        <stp>FQ1 1999</stp>
        <stp>[FA1_j2ahgkxc.xlsx]Bal Sheet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3"/>
      </tp>
      <tp>
        <v>0</v>
        <stp/>
        <stp>##V3_BDHV12</stp>
        <stp>AMZN US Equity</stp>
        <stp>BS_PFD_EQTY_&amp;_HYBRID_CPTL</stp>
        <stp>FQ4 1998</stp>
        <stp>FQ4 1998</stp>
        <stp>[FA1_j2ahgkxc.xlsx]Bal Sheet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3"/>
      </tp>
      <tp>
        <v>0</v>
        <stp/>
        <stp>##V3_BDHV12</stp>
        <stp>AMZN US Equity</stp>
        <stp>BS_PFD_EQTY_&amp;_HYBRID_CPTL</stp>
        <stp>FQ2 1999</stp>
        <stp>FQ2 1999</stp>
        <stp>[FA1_j2ahgkxc.xlsx]Bal Sheet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3"/>
      </tp>
      <tp>
        <v>68.948999999999998</v>
        <stp/>
        <stp>##V3_BDHV12</stp>
        <stp>AMZN US Equity</stp>
        <stp>CF_DECR_INVEST</stp>
        <stp>FQ2 2000</stp>
        <stp>FQ2 2000</stp>
        <stp>[FA1_j2ahgkxc.xlsx]Cash Flow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4"/>
      </tp>
      <tp>
        <v>72.619</v>
        <stp/>
        <stp>##V3_BDHV12</stp>
        <stp>AMZN US Equity</stp>
        <stp>CF_DECR_INVEST</stp>
        <stp>FQ3 2000</stp>
        <stp>FQ3 2000</stp>
        <stp>[FA1_j2ahgkxc.xlsx]Cash Flow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4"/>
      </tp>
      <tp>
        <v>0</v>
        <stp/>
        <stp>##V3_BDHV12</stp>
        <stp>AMZN US Equity</stp>
        <stp>BS_PFD_EQTY_&amp;_HYBRID_CPTL</stp>
        <stp>FQ4 1999</stp>
        <stp>FQ4 1999</stp>
        <stp>[FA1_j2ahgkxc.xlsx]Bal Sheet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3"/>
      </tp>
      <tp>
        <v>0</v>
        <stp/>
        <stp>##V3_BDHV12</stp>
        <stp>AMZN US Equity</stp>
        <stp>BS_OPTIONS_GRANTED</stp>
        <stp>FQ3 2005</stp>
        <stp>FQ3 2005</stp>
        <stp>[FA1_j2ahgkxc.xlsx]Bal Sheet - Standardized!R63C29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3" s="3"/>
      </tp>
      <tp>
        <v>0.1</v>
        <stp/>
        <stp>##V3_BDHV12</stp>
        <stp>AMZN US Equity</stp>
        <stp>BS_OPTIONS_GRANTED</stp>
        <stp>FQ2 2005</stp>
        <stp>FQ2 2005</stp>
        <stp>[FA1_j2ahgkxc.xlsx]Bal Sheet - Standardized!R63C28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3" s="3"/>
      </tp>
      <tp>
        <v>114.78700000000001</v>
        <stp/>
        <stp>##V3_BDHV12</stp>
        <stp>AMZN US Equity</stp>
        <stp>CF_DEPR_AMORT</stp>
        <stp>FQ1 2000</stp>
        <stp>FQ1 2000</stp>
        <stp>[FA1_j2ahgkxc.xlsx]Cash Flow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4"/>
      </tp>
      <tp>
        <v>106.142</v>
        <stp/>
        <stp>##V3_BDHV12</stp>
        <stp>AMZN US Equity</stp>
        <stp>CF_DEPR_AMORT</stp>
        <stp>FQ3 2000</stp>
        <stp>FQ3 2000</stp>
        <stp>[FA1_j2ahgkxc.xlsx]Cash Flow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4"/>
      </tp>
      <tp>
        <v>109.261</v>
        <stp/>
        <stp>##V3_BDHV12</stp>
        <stp>AMZN US Equity</stp>
        <stp>CF_DEPR_AMORT</stp>
        <stp>FQ2 2000</stp>
        <stp>FQ2 2000</stp>
        <stp>[FA1_j2ahgkxc.xlsx]Cash Flow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4"/>
      </tp>
      <tp>
        <v>100.357</v>
        <stp/>
        <stp>##V3_BDHV12</stp>
        <stp>AMZN US Equity</stp>
        <stp>EBITDA</stp>
        <stp>FQ3 2004</stp>
        <stp>FQ3 2004</stp>
        <stp>[FA1_j2ahgkxc.xlsx]Cash Flow - Standardized!R45C25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5" s="4"/>
      </tp>
      <tp>
        <v>97.253</v>
        <stp/>
        <stp>##V3_BDHV12</stp>
        <stp>AMZN US Equity</stp>
        <stp>EBITDA</stp>
        <stp>FQ2 2004</stp>
        <stp>FQ2 2004</stp>
        <stp>[FA1_j2ahgkxc.xlsx]Cash Flow - Standardized!R45C24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5" s="4"/>
      </tp>
      <tp>
        <v>296.68900000000002</v>
        <stp/>
        <stp>##V3_BDHV12</stp>
        <stp>AMZN US Equity</stp>
        <stp>BS_CASH_NEAR_CASH_ITEM</stp>
        <stp>FQ1 2002</stp>
        <stp>FQ1 2002</stp>
        <stp>[FA1_j2ahgkxc.xlsx]Bal Sheet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3"/>
      </tp>
      <tp>
        <v>327.56400000000002</v>
        <stp/>
        <stp>##V3_BDHV12</stp>
        <stp>AMZN US Equity</stp>
        <stp>BS_CASH_NEAR_CASH_ITEM</stp>
        <stp>FQ3 2002</stp>
        <stp>FQ3 2002</stp>
        <stp>[FA1_j2ahgkxc.xlsx]Bal Sheet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3"/>
      </tp>
      <tp>
        <v>270.43799999999999</v>
        <stp/>
        <stp>##V3_BDHV12</stp>
        <stp>AMZN US Equity</stp>
        <stp>BS_CASH_NEAR_CASH_ITEM</stp>
        <stp>FQ2 2002</stp>
        <stp>FQ2 2002</stp>
        <stp>[FA1_j2ahgkxc.xlsx]Bal Sheet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3"/>
      </tp>
      <tp>
        <v>822.43499999999995</v>
        <stp/>
        <stp>##V3_BDHV12</stp>
        <stp>AMZN US Equity</stp>
        <stp>BS_CASH_NEAR_CASH_ITEM</stp>
        <stp>FQ4 2000</stp>
        <stp>FQ4 2000</stp>
        <stp>[FA1_j2ahgkxc.xlsx]Bal Sheet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3"/>
      </tp>
      <tp>
        <v>462.94900000000001</v>
        <stp/>
        <stp>##V3_BDHV12</stp>
        <stp>AMZN US Equity</stp>
        <stp>BS_CASH_NEAR_CASH_ITEM</stp>
        <stp>FQ2 2001</stp>
        <stp>FQ2 2001</stp>
        <stp>[FA1_j2ahgkxc.xlsx]Bal Sheet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3"/>
      </tp>
      <tp>
        <v>432.30700000000002</v>
        <stp/>
        <stp>##V3_BDHV12</stp>
        <stp>AMZN US Equity</stp>
        <stp>BS_CASH_NEAR_CASH_ITEM</stp>
        <stp>FQ3 2001</stp>
        <stp>FQ3 2001</stp>
        <stp>[FA1_j2ahgkxc.xlsx]Bal Sheet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3"/>
      </tp>
      <tp>
        <v>446.94400000000002</v>
        <stp/>
        <stp>##V3_BDHV12</stp>
        <stp>AMZN US Equity</stp>
        <stp>BS_CASH_NEAR_CASH_ITEM</stp>
        <stp>FQ1 2001</stp>
        <stp>FQ1 2001</stp>
        <stp>[FA1_j2ahgkxc.xlsx]Bal Sheet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3"/>
      </tp>
      <tp>
        <v>540.28200000000004</v>
        <stp/>
        <stp>##V3_BDHV12</stp>
        <stp>AMZN US Equity</stp>
        <stp>BS_CASH_NEAR_CASH_ITEM</stp>
        <stp>FQ4 2001</stp>
        <stp>FQ4 2001</stp>
        <stp>[FA1_j2ahgkxc.xlsx]Bal Sheet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3"/>
      </tp>
      <tp>
        <v>738.25400000000002</v>
        <stp/>
        <stp>##V3_BDHV12</stp>
        <stp>AMZN US Equity</stp>
        <stp>BS_CASH_NEAR_CASH_ITEM</stp>
        <stp>FQ4 2002</stp>
        <stp>FQ4 2002</stp>
        <stp>[FA1_j2ahgkxc.xlsx]Bal Sheet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3"/>
      </tp>
      <tp>
        <v>495.77300000000002</v>
        <stp/>
        <stp>##V3_BDHV12</stp>
        <stp>AMZN US Equity</stp>
        <stp>BS_CASH_NEAR_CASH_ITEM</stp>
        <stp>FQ1 2003</stp>
        <stp>FQ1 2003</stp>
        <stp>[FA1_j2ahgkxc.xlsx]Bal Sheet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3"/>
      </tp>
      <tp>
        <v>5.2347000000000001</v>
        <stp/>
        <stp>##V3_BDHV12</stp>
        <stp>AMZN US Equity</stp>
        <stp>BOOK_VAL_PER_SH</stp>
        <stp>FQ2 2008</stp>
        <stp>FQ2 2008</stp>
        <stp>[FA1_j2ahgkxc.xlsx]Per Share!R26C40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6" s="5"/>
      </tp>
      <tp>
        <v>0.63719999999999999</v>
        <stp/>
        <stp>##V3_BDHV12</stp>
        <stp>AMZN US Equity</stp>
        <stp>FREE_CASH_FLOW_PER_SH</stp>
        <stp>FQ4 2000</stp>
        <stp>FQ4 2000</stp>
        <stp>[FA1_j2ahgkxc.xlsx]Cash Flow - Standardized!R52C10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2" s="4"/>
      </tp>
      <tp>
        <v>0</v>
        <stp/>
        <stp>##V3_BDHV12</stp>
        <stp>AMZN US Equity</stp>
        <stp>EQY_DPS</stp>
        <stp>FQ3 1999</stp>
        <stp>FQ3 1999</stp>
        <stp>[FA1_j2ahgkxc.xlsx]Income - Adjusted!R54C6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4" s="2"/>
      </tp>
      <tp>
        <v>0</v>
        <stp/>
        <stp>##V3_BDHV12</stp>
        <stp>AMZN US Equity</stp>
        <stp>EQY_DPS</stp>
        <stp>FQ1 1999</stp>
        <stp>FQ1 1999</stp>
        <stp>[FA1_j2ahgkxc.xlsx]Income - Adjusted!R54C4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4" s="2"/>
      </tp>
      <tp>
        <v>349.12</v>
        <stp/>
        <stp>##V3_BDHV12</stp>
        <stp>AMZN US Equity</stp>
        <stp>CF_CASH_FROM_OPER</stp>
        <stp>FQ4 2001</stp>
        <stp>FQ4 2001</stp>
        <stp>[FA1_j2ahgkxc.xlsx]Cash Flow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4"/>
      </tp>
      <tp>
        <v>20.94</v>
        <stp/>
        <stp>##V3_BDHV12</stp>
        <stp>AMZN US Equity</stp>
        <stp>IS_DEPR_EXP</stp>
        <stp>FQ1 2002</stp>
        <stp>FQ1 2002</stp>
        <stp>[FA1_j2ahgkxc.xlsx]Income - Adjusted!R57C15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7" s="2"/>
      </tp>
      <tp>
        <v>29</v>
        <stp/>
        <stp>##V3_BDHV12</stp>
        <stp>AMZN US Equity</stp>
        <stp>IS_DEPR_EXP</stp>
        <stp>FQ4 2005</stp>
        <stp>FQ4 2005</stp>
        <stp>[FA1_j2ahgkxc.xlsx]Income - Adjusted!R57C30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7" s="2"/>
      </tp>
      <tp>
        <v>18.338000000000001</v>
        <stp/>
        <stp>##V3_BDHV12</stp>
        <stp>AMZN US Equity</stp>
        <stp>IS_DEPR_EXP</stp>
        <stp>FQ3 2003</stp>
        <stp>FQ3 2003</stp>
        <stp>[FA1_j2ahgkxc.xlsx]Income - Adjusted!R57C21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7" s="2"/>
      </tp>
      <tp>
        <v>20.831</v>
        <stp/>
        <stp>##V3_BDHV12</stp>
        <stp>AMZN US Equity</stp>
        <stp>IS_DEPR_EXP</stp>
        <stp>FQ4 2004</stp>
        <stp>FQ4 2004</stp>
        <stp>[FA1_j2ahgkxc.xlsx]Income - Adjusted!R57C26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7" s="2"/>
      </tp>
      <tp>
        <v>20.794</v>
        <stp/>
        <stp>##V3_BDHV12</stp>
        <stp>AMZN US Equity</stp>
        <stp>IS_DEPR_EXP</stp>
        <stp>FQ2 2001</stp>
        <stp>FQ2 2001</stp>
        <stp>[FA1_j2ahgkxc.xlsx]Income - Adjusted!R57C12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7" s="2"/>
      </tp>
      <tp>
        <v>263.959</v>
        <stp/>
        <stp>##V3_BDHV12</stp>
        <stp>AMZN US Equity</stp>
        <stp>CF_CASH_FROM_OPER</stp>
        <stp>FQ4 2000</stp>
        <stp>FQ4 2000</stp>
        <stp>[FA1_j2ahgkxc.xlsx]Cash Flow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4"/>
      </tp>
      <tp>
        <v>372.57900000000001</v>
        <stp/>
        <stp>##V3_BDHV12</stp>
        <stp>AMZN US Equity</stp>
        <stp>CF_CASH_FROM_OPER</stp>
        <stp>FQ4 2002</stp>
        <stp>FQ4 2002</stp>
        <stp>[FA1_j2ahgkxc.xlsx]Cash Flow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4"/>
      </tp>
      <tp>
        <v>581</v>
        <stp/>
        <stp>##V3_BDHV12</stp>
        <stp>AMZN US Equity</stp>
        <stp>BS_ACCT_NOTE_RCV</stp>
        <stp>FQ1 2008</stp>
        <stp>FQ1 2008</stp>
        <stp>[FA1_j2ahgkxc.xlsx]Bal Sheet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3"/>
      </tp>
      <tp>
        <v>0</v>
        <stp/>
        <stp>##V3_BDHV12</stp>
        <stp>AMZN US Equity</stp>
        <stp>BS_ACCT_NOTE_RCV</stp>
        <stp>FQ3 2001</stp>
        <stp>FQ3 2001</stp>
        <stp>[FA1_j2ahgkxc.xlsx]Bal Sheet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3"/>
      </tp>
      <tp>
        <v>358</v>
        <stp/>
        <stp>##V3_BDHV12</stp>
        <stp>AMZN US Equity</stp>
        <stp>BS_ACCT_NOTE_RCV</stp>
        <stp>FQ1 2007</stp>
        <stp>FQ1 2007</stp>
        <stp>[FA1_j2ahgkxc.xlsx]Bal Sheet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3"/>
      </tp>
      <tp>
        <v>74.271000000000001</v>
        <stp/>
        <stp>##V3_BDHV12</stp>
        <stp>AMZN US Equity</stp>
        <stp>BS_DISCLOSED_INTANGIBLES</stp>
        <stp>FQ4 2002</stp>
        <stp>FQ4 2002</stp>
        <stp>[FA1_j2ahgkxc.xlsx]Bal Sheet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3"/>
      </tp>
      <tp>
        <v>228</v>
        <stp/>
        <stp>##V3_BDHV12</stp>
        <stp>AMZN US Equity</stp>
        <stp>BS_ACCT_NOTE_RCV</stp>
        <stp>FQ1 2006</stp>
        <stp>FQ1 2006</stp>
        <stp>[FA1_j2ahgkxc.xlsx]Bal Sheet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3"/>
      </tp>
      <tp>
        <v>0</v>
        <stp/>
        <stp>##V3_BDHV12</stp>
        <stp>AMZN US Equity</stp>
        <stp>BS_ACCT_NOTE_RCV</stp>
        <stp>FQ3 2002</stp>
        <stp>FQ3 2002</stp>
        <stp>[FA1_j2ahgkxc.xlsx]Bal Sheet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3"/>
      </tp>
      <tp>
        <v>79.748999999999995</v>
        <stp/>
        <stp>##V3_BDHV12</stp>
        <stp>AMZN US Equity</stp>
        <stp>BS_DISCLOSED_INTANGIBLES</stp>
        <stp>FQ4 2001</stp>
        <stp>FQ4 2001</stp>
        <stp>[FA1_j2ahgkxc.xlsx]Bal Sheet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3"/>
      </tp>
      <tp>
        <v>0</v>
        <stp/>
        <stp>##V3_BDHV12</stp>
        <stp>AMZN US Equity</stp>
        <stp>EQY_DPS</stp>
        <stp>FQ2 2003</stp>
        <stp>FQ2 2003</stp>
        <stp>[FA1_j2ahgkxc.xlsx]Income - Adjusted!R54C20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4" s="2"/>
      </tp>
      <tp>
        <v>0</v>
        <stp/>
        <stp>##V3_BDHV12</stp>
        <stp>AMZN US Equity</stp>
        <stp>EQY_DPS</stp>
        <stp>FQ2 2001</stp>
        <stp>FQ2 2001</stp>
        <stp>[FA1_j2ahgkxc.xlsx]Income - Adjusted!R54C12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4" s="2"/>
      </tp>
      <tp>
        <v>255.32499999999999</v>
        <stp/>
        <stp>##V3_BDHV12</stp>
        <stp>AMZN US Equity</stp>
        <stp>BS_DISCLOSED_INTANGIBLES</stp>
        <stp>FQ4 2000</stp>
        <stp>FQ4 2000</stp>
        <stp>[FA1_j2ahgkxc.xlsx]Bal Sheet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3"/>
      </tp>
      <tp>
        <v>426</v>
        <stp/>
        <stp>##V3_BDHV12</stp>
        <stp>AMZN US Equity</stp>
        <stp>IS_SH_FOR_DILUTED_EPS</stp>
        <stp>FQ4 2005</stp>
        <stp>FQ4 2005</stp>
        <stp>[FA1_j2ahgkxc.xlsx]Income - Adjusted!R39C30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9" s="2"/>
      </tp>
      <tp>
        <v>384.04500000000002</v>
        <stp/>
        <stp>##V3_BDHV12</stp>
        <stp>AMZN US Equity</stp>
        <stp>IS_SH_FOR_DILUTED_EPS</stp>
        <stp>FQ4 2001</stp>
        <stp>FQ4 2001</stp>
        <stp>[FA1_j2ahgkxc.xlsx]Income - Adjusted!R39C14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9" s="2"/>
      </tp>
      <tp>
        <v>379.65</v>
        <stp/>
        <stp>##V3_BDHV12</stp>
        <stp>AMZN US Equity</stp>
        <stp>IS_SH_FOR_DILUTED_EPS</stp>
        <stp>FQ3 2002</stp>
        <stp>FQ3 2002</stp>
        <stp>[FA1_j2ahgkxc.xlsx]Income - Adjusted!R39C17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9" s="2"/>
      </tp>
      <tp>
        <v>424</v>
        <stp/>
        <stp>##V3_BDHV12</stp>
        <stp>AMZN US Equity</stp>
        <stp>IS_SH_FOR_DILUTED_EPS</stp>
        <stp>FQ3 2006</stp>
        <stp>FQ3 2006</stp>
        <stp>[FA1_j2ahgkxc.xlsx]Income - Adjusted!R39C33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9" s="2"/>
      </tp>
      <tp>
        <v>0.5</v>
        <stp/>
        <stp>##V3_BDHV12</stp>
        <stp>AMZN US Equity</stp>
        <stp>IS_BASIC_EPS_CONT_OPS</stp>
        <stp>FQ4 2007</stp>
        <stp>FQ4 2007</stp>
        <stp>[FA1_j2ahgkxc.xlsx]Income - Adjusted!R37C38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7" s="2"/>
      </tp>
      <tp>
        <v>1.3658000000000001</v>
        <stp/>
        <stp>##V3_BDHV12</stp>
        <stp>AMZN US Equity</stp>
        <stp>CASH_FLOW_PER_SH</stp>
        <stp>FQ4 2004</stp>
        <stp>FQ4 2004</stp>
        <stp>[FA1_j2ahgkxc.xlsx]Per Share!R22C26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2" s="5"/>
      </tp>
      <tp>
        <v>1.7909000000000002</v>
        <stp/>
        <stp>##V3_BDHV12</stp>
        <stp>AMZN US Equity</stp>
        <stp>CASH_FLOW_PER_SH</stp>
        <stp>FQ4 2006</stp>
        <stp>FQ4 2006</stp>
        <stp>[FA1_j2ahgkxc.xlsx]Per Share!R22C34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2" s="5"/>
      </tp>
      <tp>
        <v>-0.71709999999999996</v>
        <stp/>
        <stp>##V3_BDHV12</stp>
        <stp>AMZN US Equity</stp>
        <stp>CASH_FLOW_PER_SH</stp>
        <stp>FQ1 2005</stp>
        <stp>FQ1 2005</stp>
        <stp>[FA1_j2ahgkxc.xlsx]Per Share!R22C27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2" s="5"/>
      </tp>
      <tp>
        <v>-0.67720000000000002</v>
        <stp/>
        <stp>##V3_BDHV12</stp>
        <stp>AMZN US Equity</stp>
        <stp>CASH_FLOW_PER_SH</stp>
        <stp>FQ1 2007</stp>
        <stp>FQ1 2007</stp>
        <stp>[FA1_j2ahgkxc.xlsx]Per Share!R22C35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2" s="5"/>
      </tp>
      <tp>
        <v>-0.17499999999999999</v>
        <stp/>
        <stp>##V3_BDHV12</stp>
        <stp>AMZN US Equity</stp>
        <stp>CASH_FLOW_PER_SH</stp>
        <stp>FQ3 2001</stp>
        <stp>FQ3 2001</stp>
        <stp>[FA1_j2ahgkxc.xlsx]Per Share!R22C13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2" s="5"/>
      </tp>
      <tp>
        <v>9.2499999999999999E-2</v>
        <stp/>
        <stp>##V3_BDHV12</stp>
        <stp>AMZN US Equity</stp>
        <stp>CASH_FLOW_PER_SH</stp>
        <stp>FQ3 2003</stp>
        <stp>FQ3 2003</stp>
        <stp>[FA1_j2ahgkxc.xlsx]Per Share!R22C21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2" s="5"/>
      </tp>
      <tp>
        <v>39.1126</v>
        <stp/>
        <stp>##V3_BDHV12</stp>
        <stp>AMZN US Equity</stp>
        <stp>PX_TO_FREE_CASH_FLOW</stp>
        <stp>FQ3 2004</stp>
        <stp>FQ3 2004</stp>
        <stp>[FA1_j2ahgkxc.xlsx]Cash Flow - Standardized!R53C25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3" s="4"/>
      </tp>
      <tp>
        <v>61.621600000000001</v>
        <stp/>
        <stp>##V3_BDHV12</stp>
        <stp>AMZN US Equity</stp>
        <stp>PX_TO_FREE_CASH_FLOW</stp>
        <stp>FQ2 2004</stp>
        <stp>FQ2 2004</stp>
        <stp>[FA1_j2ahgkxc.xlsx]Cash Flow - Standardized!R53C24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3" s="4"/>
      </tp>
      <tp>
        <v>0</v>
        <stp/>
        <stp>##V3_BDHV12</stp>
        <stp>AMZN US Equity</stp>
        <stp>CF_NET_CASH_PAID_FOR_AQUIS</stp>
        <stp>FQ4 2005</stp>
        <stp>FQ4 2005</stp>
        <stp>[FA1_j2ahgkxc.xlsx]Cash Flow - Standardized!R47C30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4"/>
      </tp>
      <tp t="s">
        <v>—</v>
        <stp/>
        <stp>##V3_BDHV12</stp>
        <stp>AMZN US Equity</stp>
        <stp>BS_OPTIONS_GRANTED</stp>
        <stp>FQ1 2008</stp>
        <stp>FQ1 2008</stp>
        <stp>[FA1_j2ahgkxc.xlsx]Bal Sheet - Standardized!R63C39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3" s="3"/>
      </tp>
      <tp>
        <v>2</v>
        <stp/>
        <stp>##V3_BDHV12</stp>
        <stp>AMZN US Equity</stp>
        <stp>CF_NET_CASH_PAID_FOR_AQUIS</stp>
        <stp>FQ4 2006</stp>
        <stp>FQ4 2006</stp>
        <stp>[FA1_j2ahgkxc.xlsx]Cash Flow - Standardized!R47C34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4"/>
      </tp>
      <tp>
        <v>-232.47</v>
        <stp/>
        <stp>##V3_BDHV12</stp>
        <stp>AMZN US Equity</stp>
        <stp>CF_FREE_CASH_FLOW_FIRM</stp>
        <stp>FQ1 2004</stp>
        <stp>FQ1 2004</stp>
        <stp>[FA1_j2ahgkxc.xlsx]Cash Flow - Standardized!R50C23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50" s="4"/>
      </tp>
      <tp t="s">
        <v>—</v>
        <stp/>
        <stp>##V3_BDHV12</stp>
        <stp>AMZN US Equity</stp>
        <stp>CF_FREE_CASH_FLOW_FIRM</stp>
        <stp>FQ4 2004</stp>
        <stp>FQ4 2004</stp>
        <stp>[FA1_j2ahgkxc.xlsx]Cash Flow - Standardized!R50C26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50" s="4"/>
      </tp>
      <tp>
        <v>-337.84379999999999</v>
        <stp/>
        <stp>##V3_BDHV12</stp>
        <stp>AMZN US Equity</stp>
        <stp>CF_FREE_CASH_FLOW_FIRM</stp>
        <stp>FQ1 2006</stp>
        <stp>FQ1 2006</stp>
        <stp>[FA1_j2ahgkxc.xlsx]Cash Flow - Standardized!R50C31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50" s="4"/>
      </tp>
      <tp>
        <v>78.5</v>
        <stp/>
        <stp>##V3_BDHV12</stp>
        <stp>AMZN US Equity</stp>
        <stp>CF_FREE_CASH_FLOW_FIRM</stp>
        <stp>FQ3 2006</stp>
        <stp>FQ3 2006</stp>
        <stp>[FA1_j2ahgkxc.xlsx]Cash Flow - Standardized!R50C33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50" s="4"/>
      </tp>
      <tp>
        <v>79.740700000000004</v>
        <stp/>
        <stp>##V3_BDHV12</stp>
        <stp>AMZN US Equity</stp>
        <stp>CF_FREE_CASH_FLOW_FIRM</stp>
        <stp>FQ2 2006</stp>
        <stp>FQ2 2006</stp>
        <stp>[FA1_j2ahgkxc.xlsx]Cash Flow - Standardized!R50C32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50" s="4"/>
      </tp>
      <tp>
        <v>703.81479999999999</v>
        <stp/>
        <stp>##V3_BDHV12</stp>
        <stp>AMZN US Equity</stp>
        <stp>CF_FREE_CASH_FLOW_FIRM</stp>
        <stp>FQ4 2006</stp>
        <stp>FQ4 2006</stp>
        <stp>[FA1_j2ahgkxc.xlsx]Cash Flow - Standardized!R50C34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50" s="4"/>
      </tp>
      <tp>
        <v>29</v>
        <stp/>
        <stp>##V3_BDHV12</stp>
        <stp>AMZN US Equity</stp>
        <stp>CF_NET_CASH_PAID_FOR_AQUIS</stp>
        <stp>FQ4 2007</stp>
        <stp>FQ4 2007</stp>
        <stp>[FA1_j2ahgkxc.xlsx]Cash Flow - Standardized!R47C38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4"/>
      </tp>
      <tp>
        <v>8</v>
        <stp/>
        <stp>##V3_BDHV12</stp>
        <stp>AMZN US Equity</stp>
        <stp>CF_NET_CASH_PAID_FOR_AQUIS</stp>
        <stp>FQ3 2008</stp>
        <stp>FQ3 2008</stp>
        <stp>[FA1_j2ahgkxc.xlsx]Cash Flow - Standardized!R47C41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4"/>
      </tp>
      <tp t="s">
        <v>—</v>
        <stp/>
        <stp>##V3_BDHV12</stp>
        <stp>AMZN US Equity</stp>
        <stp>CF_FREE_CASH_FLOW_FIRM</stp>
        <stp>FQ3 2002</stp>
        <stp>FQ3 2002</stp>
        <stp>[FA1_j2ahgkxc.xlsx]Cash Flow - Standardized!R50C17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50" s="4"/>
      </tp>
      <tp t="s">
        <v>—</v>
        <stp/>
        <stp>##V3_BDHV12</stp>
        <stp>AMZN US Equity</stp>
        <stp>CF_FREE_CASH_FLOW_FIRM</stp>
        <stp>FQ2 2002</stp>
        <stp>FQ2 2002</stp>
        <stp>[FA1_j2ahgkxc.xlsx]Cash Flow - Standardized!R50C16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50" s="4"/>
      </tp>
      <tp t="s">
        <v>—</v>
        <stp/>
        <stp>##V3_BDHV12</stp>
        <stp>AMZN US Equity</stp>
        <stp>CF_FREE_CASH_FLOW_FIRM</stp>
        <stp>FQ1 2002</stp>
        <stp>FQ1 2002</stp>
        <stp>[FA1_j2ahgkxc.xlsx]Cash Flow - Standardized!R50C15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50" s="4"/>
      </tp>
      <tp>
        <v>0</v>
        <stp/>
        <stp>##V3_BDHV12</stp>
        <stp>AMZN US Equity</stp>
        <stp>EQY_DPS</stp>
        <stp>FQ3 2000</stp>
        <stp>FQ3 2000</stp>
        <stp>[FA1_j2ahgkxc.xlsx]Income - Adjusted!R54C9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4" s="2"/>
      </tp>
      <tp>
        <v>-0.66449999999999998</v>
        <stp/>
        <stp>##V3_BDHV12</stp>
        <stp>AMZN US Equity</stp>
        <stp>FREE_CASH_FLOW_PER_SH</stp>
        <stp>FQ1 2003</stp>
        <stp>FQ1 2003</stp>
        <stp>[FA1_j2ahgkxc.xlsx]Cash Flow - Standardized!R52C19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2" s="4"/>
      </tp>
      <tp>
        <v>-3.8585000000000003</v>
        <stp/>
        <stp>##V3_BDHV12</stp>
        <stp>AMZN US Equity</stp>
        <stp>BOOK_VAL_PER_SH</stp>
        <stp>FQ1 2002</stp>
        <stp>FQ1 2002</stp>
        <stp>[FA1_j2ahgkxc.xlsx]Per Share!R26C15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6" s="5"/>
      </tp>
      <tp>
        <v>0.77700000000000002</v>
        <stp/>
        <stp>##V3_BDHV12</stp>
        <stp>AMZN US Equity</stp>
        <stp>BOOK_VAL_PER_SH</stp>
        <stp>FQ1 2006</stp>
        <stp>FQ1 2006</stp>
        <stp>[FA1_j2ahgkxc.xlsx]Per Share!R26C31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6" s="5"/>
      </tp>
      <tp>
        <v>-2.2353000000000001</v>
        <stp/>
        <stp>##V3_BDHV12</stp>
        <stp>AMZN US Equity</stp>
        <stp>BOOK_VAL_PER_SH</stp>
        <stp>FQ1 2004</stp>
        <stp>FQ1 2004</stp>
        <stp>[FA1_j2ahgkxc.xlsx]Per Share!R26C23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6" s="5"/>
      </tp>
      <tp>
        <v>2.5865</v>
        <stp/>
        <stp>##V3_BDHV12</stp>
        <stp>AMZN US Equity</stp>
        <stp>FREE_CASH_FLOW_PER_SH</stp>
        <stp>FQ4 2007</stp>
        <stp>FQ4 2007</stp>
        <stp>[FA1_j2ahgkxc.xlsx]Cash Flow - Standardized!R52C38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2" s="4"/>
      </tp>
      <tp>
        <v>19.795000000000002</v>
        <stp/>
        <stp>##V3_BDHV12</stp>
        <stp>AMZN US Equity</stp>
        <stp>IS_DEPR_EXP</stp>
        <stp>FQ3 2001</stp>
        <stp>FQ3 2001</stp>
        <stp>[FA1_j2ahgkxc.xlsx]Income - Adjusted!R57C13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7" s="2"/>
      </tp>
      <tp>
        <v>19.003</v>
        <stp/>
        <stp>##V3_BDHV12</stp>
        <stp>AMZN US Equity</stp>
        <stp>IS_DEPR_EXP</stp>
        <stp>FQ2 2003</stp>
        <stp>FQ2 2003</stp>
        <stp>[FA1_j2ahgkxc.xlsx]Income - Adjusted!R57C20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7" s="2"/>
      </tp>
      <tp>
        <v>19.75</v>
        <stp/>
        <stp>##V3_BDHV12</stp>
        <stp>AMZN US Equity</stp>
        <stp>IS_DEPR_EXP</stp>
        <stp>FQ1 2003</stp>
        <stp>FQ1 2003</stp>
        <stp>[FA1_j2ahgkxc.xlsx]Income - Adjusted!R57C19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7" s="2"/>
      </tp>
      <tp>
        <v>0</v>
        <stp/>
        <stp>##V3_BDHV12</stp>
        <stp>AMZN US Equity</stp>
        <stp>BS_ACCT_NOTE_RCV</stp>
        <stp>FQ2 2001</stp>
        <stp>FQ2 2001</stp>
        <stp>[FA1_j2ahgkxc.xlsx]Bal Sheet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3"/>
      </tp>
      <tp>
        <v>171</v>
        <stp/>
        <stp>##V3_BDHV12</stp>
        <stp>AMZN US Equity</stp>
        <stp>BS_ACCT_NOTE_RCV</stp>
        <stp>FQ1 2005</stp>
        <stp>FQ1 2005</stp>
        <stp>[FA1_j2ahgkxc.xlsx]Bal Sheet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3"/>
      </tp>
      <tp>
        <v>0</v>
        <stp/>
        <stp>##V3_BDHV12</stp>
        <stp>AMZN US Equity</stp>
        <stp>BS_ACCT_NOTE_RCV</stp>
        <stp>FQ1 2004</stp>
        <stp>FQ1 2004</stp>
        <stp>[FA1_j2ahgkxc.xlsx]Bal Sheet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3"/>
      </tp>
      <tp>
        <v>0</v>
        <stp/>
        <stp>##V3_BDHV12</stp>
        <stp>AMZN US Equity</stp>
        <stp>BS_ACCT_NOTE_RCV</stp>
        <stp>FQ2 2002</stp>
        <stp>FQ2 2002</stp>
        <stp>[FA1_j2ahgkxc.xlsx]Bal Sheet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3"/>
      </tp>
      <tp>
        <v>0</v>
        <stp/>
        <stp>##V3_BDHV12</stp>
        <stp>AMZN US Equity</stp>
        <stp>EQY_DPS</stp>
        <stp>FQ1 2005</stp>
        <stp>FQ1 2005</stp>
        <stp>[FA1_j2ahgkxc.xlsx]Income - Adjusted!R54C27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4" s="2"/>
      </tp>
      <tp>
        <v>0</v>
        <stp/>
        <stp>##V3_BDHV12</stp>
        <stp>AMZN US Equity</stp>
        <stp>EQY_DPS</stp>
        <stp>FQ1 2007</stp>
        <stp>FQ1 2007</stp>
        <stp>[FA1_j2ahgkxc.xlsx]Income - Adjusted!R54C35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4" s="2"/>
      </tp>
      <tp>
        <v>0</v>
        <stp/>
        <stp>##V3_BDHV12</stp>
        <stp>AMZN US Equity</stp>
        <stp>EQY_DPS</stp>
        <stp>FQ3 2001</stp>
        <stp>FQ3 2001</stp>
        <stp>[FA1_j2ahgkxc.xlsx]Income - Adjusted!R54C13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4" s="2"/>
      </tp>
      <tp>
        <v>0</v>
        <stp/>
        <stp>##V3_BDHV12</stp>
        <stp>AMZN US Equity</stp>
        <stp>EQY_DPS</stp>
        <stp>FQ3 2003</stp>
        <stp>FQ3 2003</stp>
        <stp>[FA1_j2ahgkxc.xlsx]Income - Adjusted!R54C21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4" s="2"/>
      </tp>
      <tp>
        <v>0</v>
        <stp/>
        <stp>##V3_BDHV12</stp>
        <stp>AMZN US Equity</stp>
        <stp>EQY_DPS</stp>
        <stp>FQ4 2004</stp>
        <stp>FQ4 2004</stp>
        <stp>[FA1_j2ahgkxc.xlsx]Income - Adjusted!R54C26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4" s="2"/>
      </tp>
      <tp>
        <v>0</v>
        <stp/>
        <stp>##V3_BDHV12</stp>
        <stp>AMZN US Equity</stp>
        <stp>EQY_DPS</stp>
        <stp>FQ4 2006</stp>
        <stp>FQ4 2006</stp>
        <stp>[FA1_j2ahgkxc.xlsx]Income - Adjusted!R54C34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4" s="2"/>
      </tp>
      <tp>
        <v>376.93700000000001</v>
        <stp/>
        <stp>##V3_BDHV12</stp>
        <stp>AMZN US Equity</stp>
        <stp>IS_SH_FOR_DILUTED_EPS</stp>
        <stp>FQ2 2002</stp>
        <stp>FQ2 2002</stp>
        <stp>[FA1_j2ahgkxc.xlsx]Income - Adjusted!R39C16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9" s="2"/>
      </tp>
      <tp>
        <v>426</v>
        <stp/>
        <stp>##V3_BDHV12</stp>
        <stp>AMZN US Equity</stp>
        <stp>IS_SH_FOR_DILUTED_EPS</stp>
        <stp>FQ2 2006</stp>
        <stp>FQ2 2006</stp>
        <stp>[FA1_j2ahgkxc.xlsx]Income - Adjusted!R39C32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9" s="2"/>
      </tp>
      <tp>
        <v>-0.2</v>
        <stp/>
        <stp>##V3_BDHV12</stp>
        <stp>AMZN US Equity</stp>
        <stp>IS_EARN_BEF_XO_ITEMS_PER_SH</stp>
        <stp>FQ1 1999</stp>
        <stp>FQ1 1999</stp>
        <stp>[FA1_j2ahgkxc.xlsx]Per Share!R15C4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5" s="5"/>
      </tp>
      <tp>
        <v>-0.59</v>
        <stp/>
        <stp>##V3_BDHV12</stp>
        <stp>AMZN US Equity</stp>
        <stp>IS_EARN_BEF_XO_ITEMS_PER_SH</stp>
        <stp>FQ3 1999</stp>
        <stp>FQ3 1999</stp>
        <stp>[FA1_j2ahgkxc.xlsx]Per Share!R15C6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5" s="5"/>
      </tp>
      <tp>
        <v>0.32</v>
        <stp/>
        <stp>##V3_BDHV12</stp>
        <stp>AMZN US Equity</stp>
        <stp>CASH_FLOW_PER_SH</stp>
        <stp>FQ2 2003</stp>
        <stp>FQ2 2003</stp>
        <stp>[FA1_j2ahgkxc.xlsx]Per Share!R22C20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2" s="5"/>
      </tp>
      <tp>
        <v>6.8999999999999999E-3</v>
        <stp/>
        <stp>##V3_BDHV12</stp>
        <stp>AMZN US Equity</stp>
        <stp>CASH_FLOW_PER_SH</stp>
        <stp>FQ2 2001</stp>
        <stp>FQ2 2001</stp>
        <stp>[FA1_j2ahgkxc.xlsx]Per Share!R22C12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2" s="5"/>
      </tp>
      <tp>
        <v>40.582900000000002</v>
        <stp/>
        <stp>##V3_BDHV12</stp>
        <stp>AMZN US Equity</stp>
        <stp>PX_TO_FREE_CASH_FLOW</stp>
        <stp>FQ2 2007</stp>
        <stp>FQ2 2007</stp>
        <stp>[FA1_j2ahgkxc.xlsx]Cash Flow - Standardized!R53C36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3" s="4"/>
      </tp>
      <tp>
        <v>48.304000000000002</v>
        <stp/>
        <stp>##V3_BDHV12</stp>
        <stp>AMZN US Equity</stp>
        <stp>PX_TO_FREE_CASH_FLOW</stp>
        <stp>FQ3 2007</stp>
        <stp>FQ3 2007</stp>
        <stp>[FA1_j2ahgkxc.xlsx]Cash Flow - Standardized!R53C37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3" s="4"/>
      </tp>
      <tp>
        <v>31.9269</v>
        <stp/>
        <stp>##V3_BDHV12</stp>
        <stp>AMZN US Equity</stp>
        <stp>PX_TO_FREE_CASH_FLOW</stp>
        <stp>FQ1 2007</stp>
        <stp>FQ1 2007</stp>
        <stp>[FA1_j2ahgkxc.xlsx]Cash Flow - Standardized!R53C35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3" s="4"/>
      </tp>
      <tp>
        <v>33.286000000000001</v>
        <stp/>
        <stp>##V3_BDHV12</stp>
        <stp>AMZN US Equity</stp>
        <stp>PX_TO_FREE_CASH_FLOW</stp>
        <stp>FQ1 2005</stp>
        <stp>FQ1 2005</stp>
        <stp>[FA1_j2ahgkxc.xlsx]Cash Flow - Standardized!R53C27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3" s="4"/>
      </tp>
      <tp>
        <v>0</v>
        <stp/>
        <stp>##V3_BDHV12</stp>
        <stp>AMZN US Equity</stp>
        <stp>CF_NET_CASH_PAID_FOR_AQUIS</stp>
        <stp>FQ4 2003</stp>
        <stp>FQ4 2003</stp>
        <stp>[FA1_j2ahgkxc.xlsx]Cash Flow - Standardized!R47C22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4"/>
      </tp>
      <tp>
        <v>0</v>
        <stp/>
        <stp>##V3_BDHV12</stp>
        <stp>AMZN US Equity</stp>
        <stp>CF_NET_CASH_PAID_FOR_AQUIS</stp>
        <stp>FQ4 2004</stp>
        <stp>FQ4 2004</stp>
        <stp>[FA1_j2ahgkxc.xlsx]Cash Flow - Standardized!R47C26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4"/>
      </tp>
      <tp t="s">
        <v>—</v>
        <stp/>
        <stp>##V3_BDHV12</stp>
        <stp>AMZN US Equity</stp>
        <stp>BS_OPTIONS_GRANTED</stp>
        <stp>FQ3 2003</stp>
        <stp>FQ3 2003</stp>
        <stp>[FA1_j2ahgkxc.xlsx]Bal Sheet - Standardized!R63C21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3" s="3"/>
      </tp>
      <tp t="s">
        <v>—</v>
        <stp/>
        <stp>##V3_BDHV12</stp>
        <stp>AMZN US Equity</stp>
        <stp>BS_OPTIONS_GRANTED</stp>
        <stp>FQ2 2003</stp>
        <stp>FQ2 2003</stp>
        <stp>[FA1_j2ahgkxc.xlsx]Bal Sheet - Standardized!R63C20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3" s="3"/>
      </tp>
      <tp t="s">
        <v>—</v>
        <stp/>
        <stp>##V3_BDHV12</stp>
        <stp>AMZN US Equity</stp>
        <stp>BS_OPTIONS_GRANTED</stp>
        <stp>FQ4 2001</stp>
        <stp>FQ4 2001</stp>
        <stp>[FA1_j2ahgkxc.xlsx]Bal Sheet - Standardized!R63C14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3" s="3"/>
      </tp>
      <tp t="s">
        <v>—</v>
        <stp/>
        <stp>##V3_BDHV12</stp>
        <stp>AMZN US Equity</stp>
        <stp>BS_OPTIONS_GRANTED</stp>
        <stp>FQ1 2001</stp>
        <stp>FQ1 2001</stp>
        <stp>[FA1_j2ahgkxc.xlsx]Bal Sheet - Standardized!R63C11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3" s="3"/>
      </tp>
      <tp t="s">
        <v>—</v>
        <stp/>
        <stp>##V3_BDHV12</stp>
        <stp>AMZN US Equity</stp>
        <stp>BS_OPTIONS_GRANTED</stp>
        <stp>FQ2 2001</stp>
        <stp>FQ2 2001</stp>
        <stp>[FA1_j2ahgkxc.xlsx]Bal Sheet - Standardized!R63C12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3" s="3"/>
      </tp>
      <tp t="s">
        <v>—</v>
        <stp/>
        <stp>##V3_BDHV12</stp>
        <stp>AMZN US Equity</stp>
        <stp>BS_OPTIONS_GRANTED</stp>
        <stp>FQ3 2001</stp>
        <stp>FQ3 2001</stp>
        <stp>[FA1_j2ahgkxc.xlsx]Bal Sheet - Standardized!R63C13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3" s="3"/>
      </tp>
      <tp>
        <v>44</v>
        <stp/>
        <stp>##V3_BDHV12</stp>
        <stp>AMZN US Equity</stp>
        <stp>CF_NET_CASH_PAID_FOR_AQUIS</stp>
        <stp>FQ2 2008</stp>
        <stp>FQ2 2008</stp>
        <stp>[FA1_j2ahgkxc.xlsx]Cash Flow - Standardized!R47C40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4"/>
      </tp>
      <tp>
        <v>0.1</v>
        <stp/>
        <stp>##V3_BDHV12</stp>
        <stp>AMZN US Equity</stp>
        <stp>BS_OPTIONS_GRANTED</stp>
        <stp>FQ4 2005</stp>
        <stp>FQ4 2005</stp>
        <stp>[FA1_j2ahgkxc.xlsx]Bal Sheet - Standardized!R63C30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3" s="3"/>
      </tp>
      <tp t="s">
        <v>—</v>
        <stp/>
        <stp>##V3_BDHV12</stp>
        <stp>AMZN US Equity</stp>
        <stp>IS_CAP_INT_EXP</stp>
        <stp>FQ4 1999</stp>
        <stp>FQ4 1999</stp>
        <stp>[FA1_j2ahgkxc.xlsx]Income - Adjusted!R56C7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6" s="2"/>
      </tp>
      <tp>
        <v>0.66190000000000004</v>
        <stp/>
        <stp>##V3_BDHV12</stp>
        <stp>AMZN US Equity</stp>
        <stp>FREE_CASH_FLOW_PER_SH</stp>
        <stp>FQ2 2008</stp>
        <stp>FQ2 2008</stp>
        <stp>[FA1_j2ahgkxc.xlsx]Cash Flow - Standardized!R52C40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2" s="4"/>
      </tp>
      <tp>
        <v>0.75409999999999999</v>
        <stp/>
        <stp>##V3_BDHV12</stp>
        <stp>AMZN US Equity</stp>
        <stp>FREE_CASH_FLOW_PER_SH</stp>
        <stp>FQ3 2008</stp>
        <stp>FQ3 2008</stp>
        <stp>[FA1_j2ahgkxc.xlsx]Cash Flow - Standardized!R52C41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2" s="4"/>
      </tp>
      <tp t="s">
        <v>—</v>
        <stp/>
        <stp>##V3_BDHV12</stp>
        <stp>AMZN US Equity</stp>
        <stp>IS_CAP_INT_EXP</stp>
        <stp>FQ4 1998</stp>
        <stp>FQ4 1998</stp>
        <stp>[FA1_j2ahgkxc.xlsx]Income - Adjusted!R56C3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6" s="2"/>
      </tp>
      <tp>
        <v>-1143.3440000000001</v>
        <stp/>
        <stp>##V3_BDHV12</stp>
        <stp>AMZN US Equity</stp>
        <stp>CF_CASH_FROM_INV_ACT</stp>
        <stp>FQ1 1999</stp>
        <stp>FQ1 1999</stp>
        <stp>[FA1_j2ahgkxc.xlsx]Cash Flow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4"/>
      </tp>
      <tp>
        <v>-13.964</v>
        <stp/>
        <stp>##V3_BDHV12</stp>
        <stp>AMZN US Equity</stp>
        <stp>CF_CASH_FROM_INV_ACT</stp>
        <stp>FQ4 1999</stp>
        <stp>FQ4 1999</stp>
        <stp>[FA1_j2ahgkxc.xlsx]Cash Flow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4"/>
      </tp>
      <tp>
        <v>152.78899999999999</v>
        <stp/>
        <stp>##V3_BDHV12</stp>
        <stp>AMZN US Equity</stp>
        <stp>CF_CASH_FROM_INV_ACT</stp>
        <stp>FQ2 1999</stp>
        <stp>FQ2 1999</stp>
        <stp>[FA1_j2ahgkxc.xlsx]Cash Flow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4"/>
      </tp>
      <tp>
        <v>52.56</v>
        <stp/>
        <stp>##V3_BDHV12</stp>
        <stp>AMZN US Equity</stp>
        <stp>CF_CASH_FROM_INV_ACT</stp>
        <stp>FQ3 1999</stp>
        <stp>FQ3 1999</stp>
        <stp>[FA1_j2ahgkxc.xlsx]Cash Flow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4"/>
      </tp>
      <tp>
        <v>630</v>
        <stp/>
        <stp>##V3_BDHV12</stp>
        <stp>AMZN US Equity</stp>
        <stp>CF_CASH_FROM_OPER</stp>
        <stp>FQ4 2005</stp>
        <stp>FQ4 2005</stp>
        <stp>[FA1_j2ahgkxc.xlsx]Cash Flow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4"/>
      </tp>
      <tp>
        <v>20.501000000000001</v>
        <stp/>
        <stp>##V3_BDHV12</stp>
        <stp>AMZN US Equity</stp>
        <stp>IS_DEPR_EXP</stp>
        <stp>FQ3 2002</stp>
        <stp>FQ3 2002</stp>
        <stp>[FA1_j2ahgkxc.xlsx]Income - Adjusted!R57C17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7" s="2"/>
      </tp>
      <tp>
        <v>745</v>
        <stp/>
        <stp>##V3_BDHV12</stp>
        <stp>AMZN US Equity</stp>
        <stp>CF_CASH_FROM_OPER</stp>
        <stp>FQ4 2006</stp>
        <stp>FQ4 2006</stp>
        <stp>[FA1_j2ahgkxc.xlsx]Cash Flow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4"/>
      </tp>
      <tp>
        <v>63</v>
        <stp/>
        <stp>##V3_BDHV12</stp>
        <stp>AMZN US Equity</stp>
        <stp>IS_DEPR_EXP</stp>
        <stp>FQ4 2007</stp>
        <stp>FQ4 2007</stp>
        <stp>[FA1_j2ahgkxc.xlsx]Income - Adjusted!R57C38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7" s="2"/>
      </tp>
      <tp>
        <v>1149</v>
        <stp/>
        <stp>##V3_BDHV12</stp>
        <stp>AMZN US Equity</stp>
        <stp>CF_CASH_FROM_OPER</stp>
        <stp>FQ4 2007</stp>
        <stp>FQ4 2007</stp>
        <stp>[FA1_j2ahgkxc.xlsx]Cash Flow - Standardized!R18C38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4"/>
      </tp>
      <tp>
        <v>424</v>
        <stp/>
        <stp>##V3_BDHV12</stp>
        <stp>AMZN US Equity</stp>
        <stp>CF_CASH_FROM_OPER</stp>
        <stp>FQ3 2008</stp>
        <stp>FQ3 2008</stp>
        <stp>[FA1_j2ahgkxc.xlsx]Cash Flow - Standardized!R18C41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4"/>
      </tp>
      <tp>
        <v>222</v>
        <stp/>
        <stp>##V3_BDHV12</stp>
        <stp>AMZN US Equity</stp>
        <stp>BS_DISCLOSED_INTANGIBLES</stp>
        <stp>FQ4 2007</stp>
        <stp>FQ4 2007</stp>
        <stp>[FA1_j2ahgkxc.xlsx]Bal Sheet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3"/>
      </tp>
      <tp>
        <v>0</v>
        <stp/>
        <stp>##V3_BDHV12</stp>
        <stp>AMZN US Equity</stp>
        <stp>BS_ACCT_NOTE_RCV</stp>
        <stp>FQ2 2003</stp>
        <stp>FQ2 2003</stp>
        <stp>[FA1_j2ahgkxc.xlsx]Bal Sheet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3"/>
      </tp>
      <tp>
        <v>0</v>
        <stp/>
        <stp>##V3_BDHV12</stp>
        <stp>AMZN US Equity</stp>
        <stp>BS_ACCT_NOTE_RCV</stp>
        <stp>FQ1 2001</stp>
        <stp>FQ1 2001</stp>
        <stp>[FA1_j2ahgkxc.xlsx]Bal Sheet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3"/>
      </tp>
      <tp>
        <v>405</v>
        <stp/>
        <stp>##V3_BDHV12</stp>
        <stp>AMZN US Equity</stp>
        <stp>BS_DISCLOSED_INTANGIBLES</stp>
        <stp>FQ3 2008</stp>
        <stp>FQ3 2008</stp>
        <stp>[FA1_j2ahgkxc.xlsx]Bal Sheet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3"/>
      </tp>
      <tp>
        <v>0</v>
        <stp/>
        <stp>##V3_BDHV12</stp>
        <stp>AMZN US Equity</stp>
        <stp>BS_ACCT_NOTE_RCV</stp>
        <stp>FQ2 2004</stp>
        <stp>FQ2 2004</stp>
        <stp>[FA1_j2ahgkxc.xlsx]Bal Sheet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3"/>
      </tp>
      <tp>
        <v>474</v>
        <stp/>
        <stp>##V3_BDHV12</stp>
        <stp>AMZN US Equity</stp>
        <stp>BS_ACCT_NOTE_RCV</stp>
        <stp>FQ3 2007</stp>
        <stp>FQ3 2007</stp>
        <stp>[FA1_j2ahgkxc.xlsx]Bal Sheet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3"/>
      </tp>
      <tp>
        <v>281</v>
        <stp/>
        <stp>##V3_BDHV12</stp>
        <stp>AMZN US Equity</stp>
        <stp>BS_ACCT_NOTE_RCV</stp>
        <stp>FQ3 2006</stp>
        <stp>FQ3 2006</stp>
        <stp>[FA1_j2ahgkxc.xlsx]Bal Sheet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3"/>
      </tp>
      <tp>
        <v>0</v>
        <stp/>
        <stp>##V3_BDHV12</stp>
        <stp>AMZN US Equity</stp>
        <stp>BS_ACCT_NOTE_RCV</stp>
        <stp>FQ1 2002</stp>
        <stp>FQ1 2002</stp>
        <stp>[FA1_j2ahgkxc.xlsx]Bal Sheet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3"/>
      </tp>
      <tp>
        <v>664.80100000000004</v>
        <stp/>
        <stp>##V3_BDHV12</stp>
        <stp>AMZN US Equity</stp>
        <stp>CFF_ACTIVITIES_DETAILED</stp>
        <stp>FQ1 2000</stp>
        <stp>FQ1 2000</stp>
        <stp>[FA1_j2ahgkxc.xlsx]Cash Flow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4"/>
      </tp>
      <tp>
        <v>170</v>
        <stp/>
        <stp>##V3_BDHV12</stp>
        <stp>AMZN US Equity</stp>
        <stp>BS_DISCLOSED_INTANGIBLES</stp>
        <stp>FQ4 2005</stp>
        <stp>FQ4 2005</stp>
        <stp>[FA1_j2ahgkxc.xlsx]Bal Sheet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3"/>
      </tp>
      <tp>
        <v>-49.597999999999999</v>
        <stp/>
        <stp>##V3_BDHV12</stp>
        <stp>AMZN US Equity</stp>
        <stp>CFF_ACTIVITIES_DETAILED</stp>
        <stp>FQ3 2000</stp>
        <stp>FQ3 2000</stp>
        <stp>[FA1_j2ahgkxc.xlsx]Cash Flow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4"/>
      </tp>
      <tp>
        <v>9.7270000000000003</v>
        <stp/>
        <stp>##V3_BDHV12</stp>
        <stp>AMZN US Equity</stp>
        <stp>CFF_ACTIVITIES_DETAILED</stp>
        <stp>FQ2 2000</stp>
        <stp>FQ2 2000</stp>
        <stp>[FA1_j2ahgkxc.xlsx]Cash Flow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4"/>
      </tp>
      <tp>
        <v>0</v>
        <stp/>
        <stp>##V3_BDHV12</stp>
        <stp>AMZN US Equity</stp>
        <stp>EQY_DPS</stp>
        <stp>FQ1 2008</stp>
        <stp>FQ1 2008</stp>
        <stp>[FA1_j2ahgkxc.xlsx]Income - Adjusted!R54C39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4" s="2"/>
      </tp>
      <tp>
        <v>0</v>
        <stp/>
        <stp>##V3_BDHV12</stp>
        <stp>AMZN US Equity</stp>
        <stp>EQY_DPS</stp>
        <stp>FQ3 2004</stp>
        <stp>FQ3 2004</stp>
        <stp>[FA1_j2ahgkxc.xlsx]Income - Adjusted!R54C25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4" s="2"/>
      </tp>
      <tp>
        <v>0</v>
        <stp/>
        <stp>##V3_BDHV12</stp>
        <stp>AMZN US Equity</stp>
        <stp>EQY_DPS</stp>
        <stp>FQ2 2007</stp>
        <stp>FQ2 2007</stp>
        <stp>[FA1_j2ahgkxc.xlsx]Income - Adjusted!R54C36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4" s="2"/>
      </tp>
      <tp>
        <v>0</v>
        <stp/>
        <stp>##V3_BDHV12</stp>
        <stp>AMZN US Equity</stp>
        <stp>EQY_DPS</stp>
        <stp>FQ4 2003</stp>
        <stp>FQ4 2003</stp>
        <stp>[FA1_j2ahgkxc.xlsx]Income - Adjusted!R54C22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4" s="2"/>
      </tp>
      <tp>
        <v>0</v>
        <stp/>
        <stp>##V3_BDHV12</stp>
        <stp>AMZN US Equity</stp>
        <stp>BS_ACCT_NOTE_RCV</stp>
        <stp>FQ1 2003</stp>
        <stp>FQ1 2003</stp>
        <stp>[FA1_j2ahgkxc.xlsx]Bal Sheet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3"/>
      </tp>
      <tp>
        <v>195</v>
        <stp/>
        <stp>##V3_BDHV12</stp>
        <stp>AMZN US Equity</stp>
        <stp>BS_DISCLOSED_INTANGIBLES</stp>
        <stp>FQ4 2006</stp>
        <stp>FQ4 2006</stp>
        <stp>[FA1_j2ahgkxc.xlsx]Bal Sheet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3"/>
      </tp>
      <tp>
        <v>827</v>
        <stp/>
        <stp>##V3_BDHV12</stp>
        <stp>AMZN US Equity</stp>
        <stp>BS_ACCT_NOTE_RCV</stp>
        <stp>FQ4 2008</stp>
        <stp>FQ4 2008</stp>
        <stp>[FA1_j2ahgkxc.xlsx]Bal Sheet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3"/>
      </tp>
      <tp>
        <v>155</v>
        <stp/>
        <stp>##V3_BDHV12</stp>
        <stp>AMZN US Equity</stp>
        <stp>BS_ACCT_NOTE_RCV</stp>
        <stp>FQ2 2005</stp>
        <stp>FQ2 2005</stp>
        <stp>[FA1_j2ahgkxc.xlsx]Bal Sheet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3"/>
      </tp>
      <tp>
        <v>373.03100000000001</v>
        <stp/>
        <stp>##V3_BDHV12</stp>
        <stp>AMZN US Equity</stp>
        <stp>IS_SH_FOR_DILUTED_EPS</stp>
        <stp>FQ1 2002</stp>
        <stp>FQ1 2002</stp>
        <stp>[FA1_j2ahgkxc.xlsx]Income - Adjusted!R39C15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9" s="2"/>
      </tp>
      <tp>
        <v>426</v>
        <stp/>
        <stp>##V3_BDHV12</stp>
        <stp>AMZN US Equity</stp>
        <stp>IS_SH_FOR_DILUTED_EPS</stp>
        <stp>FQ1 2006</stp>
        <stp>FQ1 2006</stp>
        <stp>[FA1_j2ahgkxc.xlsx]Income - Adjusted!R39C31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9" s="2"/>
      </tp>
      <tp>
        <v>424.51900000000001</v>
        <stp/>
        <stp>##V3_BDHV12</stp>
        <stp>AMZN US Equity</stp>
        <stp>IS_SH_FOR_DILUTED_EPS</stp>
        <stp>FQ1 2004</stp>
        <stp>FQ1 2004</stp>
        <stp>[FA1_j2ahgkxc.xlsx]Income - Adjusted!R39C23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9" s="2"/>
      </tp>
      <tp>
        <v>-0.15</v>
        <stp/>
        <stp>##V3_BDHV12</stp>
        <stp>AMZN US Equity</stp>
        <stp>IS_EARN_BEF_XO_ITEMS_PER_SH</stp>
        <stp>FQ4 1998</stp>
        <stp>FQ4 1998</stp>
        <stp>[FA1_j2ahgkxc.xlsx]Per Share!R15C3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5" s="5"/>
      </tp>
      <tp>
        <v>0.13</v>
        <stp/>
        <stp>##V3_BDHV12</stp>
        <stp>AMZN US Equity</stp>
        <stp>IS_BASIC_EPS_CONT_OPS</stp>
        <stp>FQ2 2005</stp>
        <stp>FQ2 2005</stp>
        <stp>[FA1_j2ahgkxc.xlsx]Income - Adjusted!R37C28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7" s="2"/>
      </tp>
      <tp>
        <v>0.74209999999999998</v>
        <stp/>
        <stp>##V3_BDHV12</stp>
        <stp>AMZN US Equity</stp>
        <stp>CASH_FLOW_PER_SH</stp>
        <stp>FQ4 2000</stp>
        <stp>FQ4 2000</stp>
        <stp>[FA1_j2ahgkxc.xlsx]Per Share!R22C10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2" s="5"/>
      </tp>
      <tp>
        <v>-1.1387</v>
        <stp/>
        <stp>##V3_BDHV12</stp>
        <stp>AMZN US Equity</stp>
        <stp>CASH_FLOW_PER_SH</stp>
        <stp>FQ1 2001</stp>
        <stp>FQ1 2001</stp>
        <stp>[FA1_j2ahgkxc.xlsx]Per Share!R22C11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2" s="5"/>
      </tp>
      <tp>
        <v>0.57250000000000001</v>
        <stp/>
        <stp>##V3_BDHV12</stp>
        <stp>AMZN US Equity</stp>
        <stp>CASH_FLOW_PER_SH</stp>
        <stp>FQ3 2007</stp>
        <stp>FQ3 2007</stp>
        <stp>[FA1_j2ahgkxc.xlsx]Per Share!R22C37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2" s="5"/>
      </tp>
      <tp>
        <v>0.35289999999999999</v>
        <stp/>
        <stp>##V3_BDHV12</stp>
        <stp>AMZN US Equity</stp>
        <stp>CASH_FLOW_PER_SH</stp>
        <stp>FQ2 2004</stp>
        <stp>FQ2 2004</stp>
        <stp>[FA1_j2ahgkxc.xlsx]Per Share!R22C24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2" s="5"/>
      </tp>
      <tp>
        <v>37.311500000000002</v>
        <stp/>
        <stp>##V3_BDHV12</stp>
        <stp>AMZN US Equity</stp>
        <stp>PX_TO_FREE_CASH_FLOW</stp>
        <stp>FQ1 2008</stp>
        <stp>FQ1 2008</stp>
        <stp>[FA1_j2ahgkxc.xlsx]Cash Flow - Standardized!R53C39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3" s="4"/>
      </tp>
      <tp>
        <v>0</v>
        <stp/>
        <stp>##V3_BDHV12</stp>
        <stp>AMZN US Equity</stp>
        <stp>CF_NET_CASH_PAID_FOR_AQUIS</stp>
        <stp>FQ4 2001</stp>
        <stp>FQ4 2001</stp>
        <stp>[FA1_j2ahgkxc.xlsx]Cash Flow - Standardized!R47C14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4"/>
      </tp>
      <tp t="s">
        <v>—</v>
        <stp/>
        <stp>##V3_BDHV12</stp>
        <stp>AMZN US Equity</stp>
        <stp>CF_NET_CASH_PAID_FOR_AQUIS</stp>
        <stp>FQ4 2000</stp>
        <stp>FQ4 2000</stp>
        <stp>[FA1_j2ahgkxc.xlsx]Cash Flow - Standardized!R47C10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4"/>
      </tp>
      <tp t="s">
        <v>—</v>
        <stp/>
        <stp>##V3_BDHV12</stp>
        <stp>AMZN US Equity</stp>
        <stp>CF_FREE_CASH_FLOW_FIRM</stp>
        <stp>FQ4 2000</stp>
        <stp>FQ4 2000</stp>
        <stp>[FA1_j2ahgkxc.xlsx]Cash Flow - Standardized!R50C10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50" s="4"/>
      </tp>
      <tp>
        <v>0</v>
        <stp/>
        <stp>##V3_BDHV12</stp>
        <stp>AMZN US Equity</stp>
        <stp>CF_NET_CASH_PAID_FOR_AQUIS</stp>
        <stp>FQ4 2002</stp>
        <stp>FQ4 2002</stp>
        <stp>[FA1_j2ahgkxc.xlsx]Cash Flow - Standardized!R47C18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4"/>
      </tp>
      <tp t="s">
        <v>—</v>
        <stp/>
        <stp>##V3_BDHV12</stp>
        <stp>AMZN US Equity</stp>
        <stp>BS_OPTIONS_GRANTED</stp>
        <stp>FQ3 2004</stp>
        <stp>FQ3 2004</stp>
        <stp>[FA1_j2ahgkxc.xlsx]Bal Sheet - Standardized!R63C25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3" s="3"/>
      </tp>
      <tp t="s">
        <v>—</v>
        <stp/>
        <stp>##V3_BDHV12</stp>
        <stp>AMZN US Equity</stp>
        <stp>BS_OPTIONS_GRANTED</stp>
        <stp>FQ2 2004</stp>
        <stp>FQ2 2004</stp>
        <stp>[FA1_j2ahgkxc.xlsx]Bal Sheet - Standardized!R63C24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3" s="3"/>
      </tp>
      <tp>
        <v>85</v>
        <stp/>
        <stp>##V3_BDHV12</stp>
        <stp>AMZN US Equity</stp>
        <stp>EBITDA</stp>
        <stp>FQ3 2005</stp>
        <stp>FQ3 2005</stp>
        <stp>[FA1_j2ahgkxc.xlsx]Cash Flow - Standardized!R45C29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5" s="4"/>
      </tp>
      <tp>
        <v>130</v>
        <stp/>
        <stp>##V3_BDHV12</stp>
        <stp>AMZN US Equity</stp>
        <stp>EBITDA</stp>
        <stp>FQ2 2005</stp>
        <stp>FQ2 2005</stp>
        <stp>[FA1_j2ahgkxc.xlsx]Cash Flow - Standardized!R45C28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5" s="4"/>
      </tp>
      <tp>
        <v>0.59130000000000005</v>
        <stp/>
        <stp>##V3_BDHV12</stp>
        <stp>AMZN US Equity</stp>
        <stp>BOOK_VAL_PER_SH</stp>
        <stp>FQ4 2005</stp>
        <stp>FQ4 2005</stp>
        <stp>[FA1_j2ahgkxc.xlsx]Per Share!R26C30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6" s="5"/>
      </tp>
      <tp>
        <v>-3.8582999999999998</v>
        <stp/>
        <stp>##V3_BDHV12</stp>
        <stp>AMZN US Equity</stp>
        <stp>BOOK_VAL_PER_SH</stp>
        <stp>FQ4 2001</stp>
        <stp>FQ4 2001</stp>
        <stp>[FA1_j2ahgkxc.xlsx]Per Share!R26C14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6" s="5"/>
      </tp>
      <tp>
        <v>-3.8782000000000001</v>
        <stp/>
        <stp>##V3_BDHV12</stp>
        <stp>AMZN US Equity</stp>
        <stp>BOOK_VAL_PER_SH</stp>
        <stp>FQ3 2002</stp>
        <stp>FQ3 2002</stp>
        <stp>[FA1_j2ahgkxc.xlsx]Per Share!R26C17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6" s="5"/>
      </tp>
      <tp>
        <v>0.47689999999999999</v>
        <stp/>
        <stp>##V3_BDHV12</stp>
        <stp>AMZN US Equity</stp>
        <stp>BOOK_VAL_PER_SH</stp>
        <stp>FQ3 2006</stp>
        <stp>FQ3 2006</stp>
        <stp>[FA1_j2ahgkxc.xlsx]Per Share!R26C33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6" s="5"/>
      </tp>
      <tp>
        <v>20.97</v>
        <stp/>
        <stp>##V3_BDHV12</stp>
        <stp>AMZN US Equity</stp>
        <stp>IS_DEPR_EXP</stp>
        <stp>FQ2 2002</stp>
        <stp>FQ2 2002</stp>
        <stp>[FA1_j2ahgkxc.xlsx]Income - Adjusted!R57C16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7" s="2"/>
      </tp>
      <tp>
        <v>59</v>
        <stp/>
        <stp>##V3_BDHV12</stp>
        <stp>AMZN US Equity</stp>
        <stp>IS_DEPR_EXP</stp>
        <stp>FQ4 2006</stp>
        <stp>FQ4 2006</stp>
        <stp>[FA1_j2ahgkxc.xlsx]Income - Adjusted!R57C34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7" s="2"/>
      </tp>
      <tp>
        <v>480.96300000000002</v>
        <stp/>
        <stp>##V3_BDHV12</stp>
        <stp>AMZN US Equity</stp>
        <stp>CF_CASH_FROM_OPER</stp>
        <stp>FQ4 2003</stp>
        <stp>FQ4 2003</stp>
        <stp>[FA1_j2ahgkxc.xlsx]Cash Flow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4"/>
      </tp>
      <tp>
        <v>23.073</v>
        <stp/>
        <stp>##V3_BDHV12</stp>
        <stp>AMZN US Equity</stp>
        <stp>IS_DEPR_EXP</stp>
        <stp>FQ1 2001</stp>
        <stp>FQ1 2001</stp>
        <stp>[FA1_j2ahgkxc.xlsx]Income - Adjusted!R57C11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7" s="2"/>
      </tp>
      <tp>
        <v>557.56700000000001</v>
        <stp/>
        <stp>##V3_BDHV12</stp>
        <stp>AMZN US Equity</stp>
        <stp>CF_CASH_FROM_OPER</stp>
        <stp>FQ4 2004</stp>
        <stp>FQ4 2004</stp>
        <stp>[FA1_j2ahgkxc.xlsx]Cash Flow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4"/>
      </tp>
      <tp>
        <v>347</v>
        <stp/>
        <stp>##V3_BDHV12</stp>
        <stp>AMZN US Equity</stp>
        <stp>CF_CASH_FROM_OPER</stp>
        <stp>FQ2 2008</stp>
        <stp>FQ2 2008</stp>
        <stp>[FA1_j2ahgkxc.xlsx]Cash Flow - Standardized!R18C40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4"/>
      </tp>
      <tp>
        <v>0</v>
        <stp/>
        <stp>##V3_BDHV12</stp>
        <stp>AMZN US Equity</stp>
        <stp>BS_ACCT_NOTE_RCV</stp>
        <stp>FQ3 2003</stp>
        <stp>FQ3 2003</stp>
        <stp>[FA1_j2ahgkxc.xlsx]Bal Sheet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3"/>
      </tp>
      <tp>
        <v>400</v>
        <stp/>
        <stp>##V3_BDHV12</stp>
        <stp>AMZN US Equity</stp>
        <stp>BS_DISCLOSED_INTANGIBLES</stp>
        <stp>FQ2 2008</stp>
        <stp>FQ2 2008</stp>
        <stp>[FA1_j2ahgkxc.xlsx]Bal Sheet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3"/>
      </tp>
      <tp>
        <v>0</v>
        <stp/>
        <stp>##V3_BDHV12</stp>
        <stp>AMZN US Equity</stp>
        <stp>BS_ACCT_NOTE_RCV</stp>
        <stp>FQ3 2004</stp>
        <stp>FQ3 2004</stp>
        <stp>[FA1_j2ahgkxc.xlsx]Bal Sheet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3"/>
      </tp>
      <tp>
        <v>384</v>
        <stp/>
        <stp>##V3_BDHV12</stp>
        <stp>AMZN US Equity</stp>
        <stp>BS_ACCT_NOTE_RCV</stp>
        <stp>FQ2 2007</stp>
        <stp>FQ2 2007</stp>
        <stp>[FA1_j2ahgkxc.xlsx]Bal Sheet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3"/>
      </tp>
      <tp>
        <v>225</v>
        <stp/>
        <stp>##V3_BDHV12</stp>
        <stp>AMZN US Equity</stp>
        <stp>BS_ACCT_NOTE_RCV</stp>
        <stp>FQ2 2006</stp>
        <stp>FQ2 2006</stp>
        <stp>[FA1_j2ahgkxc.xlsx]Bal Sheet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3"/>
      </tp>
      <tp>
        <v>0</v>
        <stp/>
        <stp>##V3_BDHV12</stp>
        <stp>AMZN US Equity</stp>
        <stp>EQY_DPS</stp>
        <stp>FQ1 2001</stp>
        <stp>FQ1 2001</stp>
        <stp>[FA1_j2ahgkxc.xlsx]Income - Adjusted!R54C11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4" s="2"/>
      </tp>
      <tp>
        <v>0</v>
        <stp/>
        <stp>##V3_BDHV12</stp>
        <stp>AMZN US Equity</stp>
        <stp>EQY_DPS</stp>
        <stp>FQ3 2007</stp>
        <stp>FQ3 2007</stp>
        <stp>[FA1_j2ahgkxc.xlsx]Income - Adjusted!R54C37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4" s="2"/>
      </tp>
      <tp>
        <v>0</v>
        <stp/>
        <stp>##V3_BDHV12</stp>
        <stp>AMZN US Equity</stp>
        <stp>EQY_DPS</stp>
        <stp>FQ2 2004</stp>
        <stp>FQ2 2004</stp>
        <stp>[FA1_j2ahgkxc.xlsx]Income - Adjusted!R54C24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4" s="2"/>
      </tp>
      <tp>
        <v>0</v>
        <stp/>
        <stp>##V3_BDHV12</stp>
        <stp>AMZN US Equity</stp>
        <stp>EQY_DPS</stp>
        <stp>FQ4 2000</stp>
        <stp>FQ4 2000</stp>
        <stp>[FA1_j2ahgkxc.xlsx]Income - Adjusted!R54C10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4" s="2"/>
      </tp>
      <tp>
        <v>138.999</v>
        <stp/>
        <stp>##V3_BDHV12</stp>
        <stp>AMZN US Equity</stp>
        <stp>BS_DISCLOSED_INTANGIBLES</stp>
        <stp>FQ4 2004</stp>
        <stp>FQ4 2004</stp>
        <stp>[FA1_j2ahgkxc.xlsx]Bal Sheet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3"/>
      </tp>
      <tp>
        <v>69.638999999999996</v>
        <stp/>
        <stp>##V3_BDHV12</stp>
        <stp>AMZN US Equity</stp>
        <stp>BS_DISCLOSED_INTANGIBLES</stp>
        <stp>FQ4 2003</stp>
        <stp>FQ4 2003</stp>
        <stp>[FA1_j2ahgkxc.xlsx]Bal Sheet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3"/>
      </tp>
      <tp>
        <v>188</v>
        <stp/>
        <stp>##V3_BDHV12</stp>
        <stp>AMZN US Equity</stp>
        <stp>BS_ACCT_NOTE_RCV</stp>
        <stp>FQ3 2005</stp>
        <stp>FQ3 2005</stp>
        <stp>[FA1_j2ahgkxc.xlsx]Bal Sheet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3"/>
      </tp>
      <tp>
        <v>-0.43</v>
        <stp/>
        <stp>##V3_BDHV12</stp>
        <stp>AMZN US Equity</stp>
        <stp>IS_EARN_BEF_XO_ITEMS_PER_SH</stp>
        <stp>FQ2 1999</stp>
        <stp>FQ2 1999</stp>
        <stp>[FA1_j2ahgkxc.xlsx]Per Share!R15C5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5" s="5"/>
      </tp>
      <tp>
        <v>0.13</v>
        <stp/>
        <stp>##V3_BDHV12</stp>
        <stp>AMZN US Equity</stp>
        <stp>IS_BASIC_EPS_CONT_OPS</stp>
        <stp>FQ3 2005</stp>
        <stp>FQ3 2005</stp>
        <stp>[FA1_j2ahgkxc.xlsx]Income - Adjusted!R37C29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7" s="2"/>
      </tp>
      <tp>
        <v>1.1980999999999999</v>
        <stp/>
        <stp>##V3_BDHV12</stp>
        <stp>AMZN US Equity</stp>
        <stp>CASH_FLOW_PER_SH</stp>
        <stp>FQ4 2003</stp>
        <stp>FQ4 2003</stp>
        <stp>[FA1_j2ahgkxc.xlsx]Per Share!R22C22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2" s="5"/>
      </tp>
      <tp>
        <v>-1.5468</v>
        <stp/>
        <stp>##V3_BDHV12</stp>
        <stp>AMZN US Equity</stp>
        <stp>CASH_FLOW_PER_SH</stp>
        <stp>FQ1 2008</stp>
        <stp>FQ1 2008</stp>
        <stp>[FA1_j2ahgkxc.xlsx]Per Share!R22C39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2" s="5"/>
      </tp>
      <tp>
        <v>0.2868</v>
        <stp/>
        <stp>##V3_BDHV12</stp>
        <stp>AMZN US Equity</stp>
        <stp>CASH_FLOW_PER_SH</stp>
        <stp>FQ3 2004</stp>
        <stp>FQ3 2004</stp>
        <stp>[FA1_j2ahgkxc.xlsx]Per Share!R22C25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2" s="5"/>
      </tp>
      <tp>
        <v>0.72570000000000001</v>
        <stp/>
        <stp>##V3_BDHV12</stp>
        <stp>AMZN US Equity</stp>
        <stp>CASH_FLOW_PER_SH</stp>
        <stp>FQ2 2007</stp>
        <stp>FQ2 2007</stp>
        <stp>[FA1_j2ahgkxc.xlsx]Per Share!R22C36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2" s="5"/>
      </tp>
      <tp>
        <v>37.101500000000001</v>
        <stp/>
        <stp>##V3_BDHV12</stp>
        <stp>AMZN US Equity</stp>
        <stp>PX_TO_FREE_CASH_FLOW</stp>
        <stp>FQ4 2005</stp>
        <stp>FQ4 2005</stp>
        <stp>[FA1_j2ahgkxc.xlsx]Cash Flow - Standardized!R53C30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3" s="4"/>
      </tp>
      <tp>
        <v>77.827600000000004</v>
        <stp/>
        <stp>##V3_BDHV12</stp>
        <stp>AMZN US Equity</stp>
        <stp>PX_TO_FREE_CASH_FLOW</stp>
        <stp>FQ3 2003</stp>
        <stp>FQ3 2003</stp>
        <stp>[FA1_j2ahgkxc.xlsx]Cash Flow - Standardized!R53C21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3" s="4"/>
      </tp>
      <tp>
        <v>56.892299999999999</v>
        <stp/>
        <stp>##V3_BDHV12</stp>
        <stp>AMZN US Equity</stp>
        <stp>PX_TO_FREE_CASH_FLOW</stp>
        <stp>FQ2 2003</stp>
        <stp>FQ2 2003</stp>
        <stp>[FA1_j2ahgkxc.xlsx]Cash Flow - Standardized!R53C20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3" s="4"/>
      </tp>
      <tp t="s">
        <v>—</v>
        <stp/>
        <stp>##V3_BDHV12</stp>
        <stp>AMZN US Equity</stp>
        <stp>PX_TO_FREE_CASH_FLOW</stp>
        <stp>FQ1 2001</stp>
        <stp>FQ1 2001</stp>
        <stp>[FA1_j2ahgkxc.xlsx]Cash Flow - Standardized!R53C11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3" s="4"/>
      </tp>
      <tp t="s">
        <v>—</v>
        <stp/>
        <stp>##V3_BDHV12</stp>
        <stp>AMZN US Equity</stp>
        <stp>PX_TO_FREE_CASH_FLOW</stp>
        <stp>FQ2 2001</stp>
        <stp>FQ2 2001</stp>
        <stp>[FA1_j2ahgkxc.xlsx]Cash Flow - Standardized!R53C12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3" s="4"/>
      </tp>
      <tp t="s">
        <v>—</v>
        <stp/>
        <stp>##V3_BDHV12</stp>
        <stp>AMZN US Equity</stp>
        <stp>PX_TO_FREE_CASH_FLOW</stp>
        <stp>FQ3 2001</stp>
        <stp>FQ3 2001</stp>
        <stp>[FA1_j2ahgkxc.xlsx]Cash Flow - Standardized!R53C13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3" s="4"/>
      </tp>
      <tp t="s">
        <v>—</v>
        <stp/>
        <stp>##V3_BDHV12</stp>
        <stp>AMZN US Equity</stp>
        <stp>PX_TO_FREE_CASH_FLOW</stp>
        <stp>FQ4 2001</stp>
        <stp>FQ4 2001</stp>
        <stp>[FA1_j2ahgkxc.xlsx]Cash Flow - Standardized!R53C14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3" s="4"/>
      </tp>
      <tp t="s">
        <v>—</v>
        <stp/>
        <stp>##V3_BDHV12</stp>
        <stp>AMZN US Equity</stp>
        <stp>BS_OPTIONS_GRANTED</stp>
        <stp>FQ2 2007</stp>
        <stp>FQ2 2007</stp>
        <stp>[FA1_j2ahgkxc.xlsx]Bal Sheet - Standardized!R63C36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3" s="3"/>
      </tp>
      <tp t="s">
        <v>—</v>
        <stp/>
        <stp>##V3_BDHV12</stp>
        <stp>AMZN US Equity</stp>
        <stp>BS_OPTIONS_GRANTED</stp>
        <stp>FQ3 2007</stp>
        <stp>FQ3 2007</stp>
        <stp>[FA1_j2ahgkxc.xlsx]Bal Sheet - Standardized!R63C37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3" s="3"/>
      </tp>
      <tp t="s">
        <v>—</v>
        <stp/>
        <stp>##V3_BDHV12</stp>
        <stp>AMZN US Equity</stp>
        <stp>BS_OPTIONS_GRANTED</stp>
        <stp>FQ1 2007</stp>
        <stp>FQ1 2007</stp>
        <stp>[FA1_j2ahgkxc.xlsx]Bal Sheet - Standardized!R63C35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3" s="3"/>
      </tp>
      <tp>
        <v>0</v>
        <stp/>
        <stp>##V3_BDHV12</stp>
        <stp>AMZN US Equity</stp>
        <stp>BS_OPTIONS_GRANTED</stp>
        <stp>FQ1 2005</stp>
        <stp>FQ1 2005</stp>
        <stp>[FA1_j2ahgkxc.xlsx]Bal Sheet - Standardized!R63C27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3" s="3"/>
      </tp>
      <tp>
        <v>493.02600000000001</v>
        <stp/>
        <stp>##V3_BDHV12</stp>
        <stp>AMZN US Equity</stp>
        <stp>CF_FREE_CASH_FLOW_FIRM</stp>
        <stp>FQ4 2003</stp>
        <stp>FQ4 2003</stp>
        <stp>[FA1_j2ahgkxc.xlsx]Cash Flow - Standardized!R50C22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50" s="4"/>
      </tp>
      <tp>
        <v>349</v>
        <stp/>
        <stp>##V3_BDHV12</stp>
        <stp>AMZN US Equity</stp>
        <stp>EBITDA</stp>
        <stp>FQ4 2008</stp>
        <stp>FQ4 2008</stp>
        <stp>[FA1_j2ahgkxc.xlsx]Cash Flow - Standardized!R45C42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45" s="4"/>
      </tp>
      <tp>
        <v>86.141000000000005</v>
        <stp/>
        <stp>##V3_BDHV12</stp>
        <stp>AMZN US Equity</stp>
        <stp>EBITDA</stp>
        <stp>FQ4 2002</stp>
        <stp>FQ4 2002</stp>
        <stp>[FA1_j2ahgkxc.xlsx]Cash Flow - Standardized!R45C18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5" s="4"/>
      </tp>
      <tp>
        <v>0</v>
        <stp/>
        <stp>##V3_BDHV12</stp>
        <stp>AMZN US Equity</stp>
        <stp>EQY_DPS</stp>
        <stp>FQ1 2000</stp>
        <stp>FQ1 2000</stp>
        <stp>[FA1_j2ahgkxc.xlsx]Income - Adjusted!R54C8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4" s="2"/>
      </tp>
      <tp>
        <v>-3.7967</v>
        <stp/>
        <stp>##V3_BDHV12</stp>
        <stp>AMZN US Equity</stp>
        <stp>BOOK_VAL_PER_SH</stp>
        <stp>FQ2 2002</stp>
        <stp>FQ2 2002</stp>
        <stp>[FA1_j2ahgkxc.xlsx]Per Share!R26C16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6" s="5"/>
      </tp>
      <tp>
        <v>0.91410000000000002</v>
        <stp/>
        <stp>##V3_BDHV12</stp>
        <stp>AMZN US Equity</stp>
        <stp>BOOK_VAL_PER_SH</stp>
        <stp>FQ2 2006</stp>
        <stp>FQ2 2006</stp>
        <stp>[FA1_j2ahgkxc.xlsx]Per Share!R26C32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6" s="5"/>
      </tp>
      <tp>
        <v>36.817</v>
        <stp/>
        <stp>##V3_BDHV12</stp>
        <stp>AMZN US Equity</stp>
        <stp>CF_CASH_FROM_OPER</stp>
        <stp>FQ3 2003</stp>
        <stp>FQ3 2003</stp>
        <stp>[FA1_j2ahgkxc.xlsx]Cash Flow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4"/>
      </tp>
      <tp>
        <v>299</v>
        <stp/>
        <stp>##V3_BDHV12</stp>
        <stp>AMZN US Equity</stp>
        <stp>CF_CASH_FROM_OPER</stp>
        <stp>FQ2 2007</stp>
        <stp>FQ2 2007</stp>
        <stp>[FA1_j2ahgkxc.xlsx]Cash Flow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4"/>
      </tp>
      <tp>
        <v>62</v>
        <stp/>
        <stp>##V3_BDHV12</stp>
        <stp>AMZN US Equity</stp>
        <stp>IS_DEPR_EXP</stp>
        <stp>FQ3 2006</stp>
        <stp>FQ3 2006</stp>
        <stp>[FA1_j2ahgkxc.xlsx]Income - Adjusted!R57C33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7" s="2"/>
      </tp>
      <tp>
        <v>116.645</v>
        <stp/>
        <stp>##V3_BDHV12</stp>
        <stp>AMZN US Equity</stp>
        <stp>CF_CASH_FROM_OPER</stp>
        <stp>FQ3 2004</stp>
        <stp>FQ3 2004</stp>
        <stp>[FA1_j2ahgkxc.xlsx]Cash Flow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4"/>
      </tp>
      <tp>
        <v>28</v>
        <stp/>
        <stp>##V3_BDHV12</stp>
        <stp>AMZN US Equity</stp>
        <stp>IS_DEPR_EXP</stp>
        <stp>FQ1 2005</stp>
        <stp>FQ1 2005</stp>
        <stp>[FA1_j2ahgkxc.xlsx]Income - Adjusted!R57C27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7" s="2"/>
      </tp>
      <tp>
        <v>60</v>
        <stp/>
        <stp>##V3_BDHV12</stp>
        <stp>AMZN US Equity</stp>
        <stp>IS_DEPR_EXP</stp>
        <stp>FQ2 2007</stp>
        <stp>FQ2 2007</stp>
        <stp>[FA1_j2ahgkxc.xlsx]Income - Adjusted!R57C36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7" s="2"/>
      </tp>
      <tp>
        <v>130</v>
        <stp/>
        <stp>##V3_BDHV12</stp>
        <stp>AMZN US Equity</stp>
        <stp>CF_CASH_FROM_OPER</stp>
        <stp>FQ2 2006</stp>
        <stp>FQ2 2006</stp>
        <stp>[FA1_j2ahgkxc.xlsx]Cash Flow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4"/>
      </tp>
      <tp>
        <v>153</v>
        <stp/>
        <stp>##V3_BDHV12</stp>
        <stp>AMZN US Equity</stp>
        <stp>CF_CASH_FROM_OPER</stp>
        <stp>FQ3 2005</stp>
        <stp>FQ3 2005</stp>
        <stp>[FA1_j2ahgkxc.xlsx]Cash Flow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4"/>
      </tp>
      <tp>
        <v>159</v>
        <stp/>
        <stp>##V3_BDHV12</stp>
        <stp>AMZN US Equity</stp>
        <stp>BS_DISCLOSED_INTANGIBLES</stp>
        <stp>FQ3 2005</stp>
        <stp>FQ3 2005</stp>
        <stp>[FA1_j2ahgkxc.xlsx]Bal Sheet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3"/>
      </tp>
      <tp>
        <v>0</v>
        <stp/>
        <stp>##V3_BDHV12</stp>
        <stp>AMZN US Equity</stp>
        <stp>BS_ACCT_NOTE_RCV</stp>
        <stp>FQ4 2003</stp>
        <stp>FQ4 2003</stp>
        <stp>[FA1_j2ahgkxc.xlsx]Bal Sheet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3"/>
      </tp>
      <tp>
        <v>199.1</v>
        <stp/>
        <stp>##V3_BDHV12</stp>
        <stp>AMZN US Equity</stp>
        <stp>BS_ACCT_NOTE_RCV</stp>
        <stp>FQ4 2004</stp>
        <stp>FQ4 2004</stp>
        <stp>[FA1_j2ahgkxc.xlsx]Bal Sheet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3"/>
      </tp>
      <tp>
        <v>214</v>
        <stp/>
        <stp>##V3_BDHV12</stp>
        <stp>AMZN US Equity</stp>
        <stp>BS_DISCLOSED_INTANGIBLES</stp>
        <stp>FQ2 2007</stp>
        <stp>FQ2 2007</stp>
        <stp>[FA1_j2ahgkxc.xlsx]Bal Sheet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3"/>
      </tp>
      <tp>
        <v>137.584</v>
        <stp/>
        <stp>##V3_BDHV12</stp>
        <stp>AMZN US Equity</stp>
        <stp>BS_DISCLOSED_INTANGIBLES</stp>
        <stp>FQ3 2004</stp>
        <stp>FQ3 2004</stp>
        <stp>[FA1_j2ahgkxc.xlsx]Bal Sheet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3"/>
      </tp>
      <tp>
        <v>586</v>
        <stp/>
        <stp>##V3_BDHV12</stp>
        <stp>AMZN US Equity</stp>
        <stp>BS_ACCT_NOTE_RCV</stp>
        <stp>FQ2 2008</stp>
        <stp>FQ2 2008</stp>
        <stp>[FA1_j2ahgkxc.xlsx]Bal Sheet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3"/>
      </tp>
      <tp>
        <v>69.78</v>
        <stp/>
        <stp>##V3_BDHV12</stp>
        <stp>AMZN US Equity</stp>
        <stp>BS_DISCLOSED_INTANGIBLES</stp>
        <stp>FQ3 2003</stp>
        <stp>FQ3 2003</stp>
        <stp>[FA1_j2ahgkxc.xlsx]Bal Sheet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3"/>
      </tp>
      <tp>
        <v>0</v>
        <stp/>
        <stp>##V3_BDHV12</stp>
        <stp>AMZN US Equity</stp>
        <stp>EQY_DPS</stp>
        <stp>FQ1 2002</stp>
        <stp>FQ1 2002</stp>
        <stp>[FA1_j2ahgkxc.xlsx]Income - Adjusted!R54C15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4" s="2"/>
      </tp>
      <tp>
        <v>0</v>
        <stp/>
        <stp>##V3_BDHV12</stp>
        <stp>AMZN US Equity</stp>
        <stp>EQY_DPS</stp>
        <stp>FQ1 2004</stp>
        <stp>FQ1 2004</stp>
        <stp>[FA1_j2ahgkxc.xlsx]Income - Adjusted!R54C23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4" s="2"/>
      </tp>
      <tp>
        <v>0</v>
        <stp/>
        <stp>##V3_BDHV12</stp>
        <stp>AMZN US Equity</stp>
        <stp>EQY_DPS</stp>
        <stp>FQ1 2006</stp>
        <stp>FQ1 2006</stp>
        <stp>[FA1_j2ahgkxc.xlsx]Income - Adjusted!R54C31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4" s="2"/>
      </tp>
      <tp>
        <v>193</v>
        <stp/>
        <stp>##V3_BDHV12</stp>
        <stp>AMZN US Equity</stp>
        <stp>BS_DISCLOSED_INTANGIBLES</stp>
        <stp>FQ2 2006</stp>
        <stp>FQ2 2006</stp>
        <stp>[FA1_j2ahgkxc.xlsx]Bal Sheet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3"/>
      </tp>
      <tp>
        <v>425.214</v>
        <stp/>
        <stp>##V3_BDHV12</stp>
        <stp>AMZN US Equity</stp>
        <stp>IS_SH_FOR_DILUTED_EPS</stp>
        <stp>FQ4 2003</stp>
        <stp>FQ4 2003</stp>
        <stp>[FA1_j2ahgkxc.xlsx]Income - Adjusted!R39C22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9" s="2"/>
      </tp>
      <tp>
        <v>423</v>
        <stp/>
        <stp>##V3_BDHV12</stp>
        <stp>AMZN US Equity</stp>
        <stp>IS_SH_FOR_DILUTED_EPS</stp>
        <stp>FQ2 2007</stp>
        <stp>FQ2 2007</stp>
        <stp>[FA1_j2ahgkxc.xlsx]Income - Adjusted!R39C36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9" s="2"/>
      </tp>
      <tp>
        <v>424.77699999999999</v>
        <stp/>
        <stp>##V3_BDHV12</stp>
        <stp>AMZN US Equity</stp>
        <stp>IS_SH_FOR_DILUTED_EPS</stp>
        <stp>FQ3 2004</stp>
        <stp>FQ3 2004</stp>
        <stp>[FA1_j2ahgkxc.xlsx]Income - Adjusted!R39C25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9" s="2"/>
      </tp>
      <tp>
        <v>426</v>
        <stp/>
        <stp>##V3_BDHV12</stp>
        <stp>AMZN US Equity</stp>
        <stp>IS_SH_FOR_DILUTED_EPS</stp>
        <stp>FQ1 2008</stp>
        <stp>FQ1 2008</stp>
        <stp>[FA1_j2ahgkxc.xlsx]Income - Adjusted!R39C39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9" s="2"/>
      </tp>
      <tp>
        <v>42.7455</v>
        <stp/>
        <stp>##V3_BDHV12</stp>
        <stp>AMZN US Equity</stp>
        <stp>PX_TO_FREE_CASH_FLOW</stp>
        <stp>FQ2 2006</stp>
        <stp>FQ2 2006</stp>
        <stp>[FA1_j2ahgkxc.xlsx]Cash Flow - Standardized!R53C32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3" s="4"/>
      </tp>
      <tp>
        <v>36.436999999999998</v>
        <stp/>
        <stp>##V3_BDHV12</stp>
        <stp>AMZN US Equity</stp>
        <stp>PX_TO_FREE_CASH_FLOW</stp>
        <stp>FQ3 2006</stp>
        <stp>FQ3 2006</stp>
        <stp>[FA1_j2ahgkxc.xlsx]Cash Flow - Standardized!R53C33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3" s="4"/>
      </tp>
      <tp>
        <v>30.0808</v>
        <stp/>
        <stp>##V3_BDHV12</stp>
        <stp>AMZN US Equity</stp>
        <stp>PX_TO_FREE_CASH_FLOW</stp>
        <stp>FQ1 2006</stp>
        <stp>FQ1 2006</stp>
        <stp>[FA1_j2ahgkxc.xlsx]Cash Flow - Standardized!R53C31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3" s="4"/>
      </tp>
      <tp>
        <v>33.753599999999999</v>
        <stp/>
        <stp>##V3_BDHV12</stp>
        <stp>AMZN US Equity</stp>
        <stp>PX_TO_FREE_CASH_FLOW</stp>
        <stp>FQ4 2006</stp>
        <stp>FQ4 2006</stp>
        <stp>[FA1_j2ahgkxc.xlsx]Cash Flow - Standardized!R53C34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3" s="4"/>
      </tp>
      <tp>
        <v>49.942700000000002</v>
        <stp/>
        <stp>##V3_BDHV12</stp>
        <stp>AMZN US Equity</stp>
        <stp>PX_TO_FREE_CASH_FLOW</stp>
        <stp>FQ1 2004</stp>
        <stp>FQ1 2004</stp>
        <stp>[FA1_j2ahgkxc.xlsx]Cash Flow - Standardized!R53C23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3" s="4"/>
      </tp>
      <tp>
        <v>38.008800000000001</v>
        <stp/>
        <stp>##V3_BDHV12</stp>
        <stp>AMZN US Equity</stp>
        <stp>PX_TO_FREE_CASH_FLOW</stp>
        <stp>FQ4 2004</stp>
        <stp>FQ4 2004</stp>
        <stp>[FA1_j2ahgkxc.xlsx]Cash Flow - Standardized!R53C26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3" s="4"/>
      </tp>
      <tp>
        <v>504.50549999999998</v>
        <stp/>
        <stp>##V3_BDHV12</stp>
        <stp>AMZN US Equity</stp>
        <stp>PX_TO_FREE_CASH_FLOW</stp>
        <stp>FQ1 2002</stp>
        <stp>FQ1 2002</stp>
        <stp>[FA1_j2ahgkxc.xlsx]Cash Flow - Standardized!R53C15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3" s="4"/>
      </tp>
      <tp>
        <v>378.0908</v>
        <stp/>
        <stp>##V3_BDHV12</stp>
        <stp>AMZN US Equity</stp>
        <stp>PX_TO_FREE_CASH_FLOW</stp>
        <stp>FQ2 2002</stp>
        <stp>FQ2 2002</stp>
        <stp>[FA1_j2ahgkxc.xlsx]Cash Flow - Standardized!R53C16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3" s="4"/>
      </tp>
      <tp>
        <v>49.2346</v>
        <stp/>
        <stp>##V3_BDHV12</stp>
        <stp>AMZN US Equity</stp>
        <stp>PX_TO_FREE_CASH_FLOW</stp>
        <stp>FQ3 2002</stp>
        <stp>FQ3 2002</stp>
        <stp>[FA1_j2ahgkxc.xlsx]Cash Flow - Standardized!R53C17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3" s="4"/>
      </tp>
      <tp t="s">
        <v>—</v>
        <stp/>
        <stp>##V3_BDHV12</stp>
        <stp>AMZN US Equity</stp>
        <stp>IS_SG&amp;A_EXPENSE</stp>
        <stp>FQ1 2000</stp>
        <stp>FQ1 2000</stp>
        <stp>[FA1_j2ahgkxc.xlsx]Income - Adjusted!R10C8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0</v>
        <stp/>
        <stp>##V3_BDHV12</stp>
        <stp>AMZN US Equity</stp>
        <stp>CF_NET_CASH_PAID_FOR_AQUIS</stp>
        <stp>FQ2 2001</stp>
        <stp>FQ2 2001</stp>
        <stp>[FA1_j2ahgkxc.xlsx]Cash Flow - Standardized!R47C12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4"/>
      </tp>
      <tp>
        <v>15</v>
        <stp/>
        <stp>##V3_BDHV12</stp>
        <stp>AMZN US Equity</stp>
        <stp>CF_NET_CASH_PAID_FOR_AQUIS</stp>
        <stp>FQ1 2005</stp>
        <stp>FQ1 2005</stp>
        <stp>[FA1_j2ahgkxc.xlsx]Cash Flow - Standardized!R47C27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4"/>
      </tp>
      <tp>
        <v>-28.856000000000002</v>
        <stp/>
        <stp>##V3_BDHV12</stp>
        <stp>AMZN US Equity</stp>
        <stp>CF_INCR_INVEST</stp>
        <stp>FQ1 2000</stp>
        <stp>FQ1 2000</stp>
        <stp>[FA1_j2ahgkxc.xlsx]Cash Flow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4"/>
      </tp>
      <tp>
        <v>0</v>
        <stp/>
        <stp>##V3_BDHV12</stp>
        <stp>AMZN US Equity</stp>
        <stp>CF_NET_CASH_PAID_FOR_AQUIS</stp>
        <stp>FQ1 2004</stp>
        <stp>FQ1 2004</stp>
        <stp>[FA1_j2ahgkxc.xlsx]Cash Flow - Standardized!R47C23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4"/>
      </tp>
      <tp>
        <v>0</v>
        <stp/>
        <stp>##V3_BDHV12</stp>
        <stp>AMZN US Equity</stp>
        <stp>CF_NET_CASH_PAID_FOR_AQUIS</stp>
        <stp>FQ2 2002</stp>
        <stp>FQ2 2002</stp>
        <stp>[FA1_j2ahgkxc.xlsx]Cash Flow - Standardized!R47C16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4"/>
      </tp>
      <tp>
        <v>154.94800000000001</v>
        <stp/>
        <stp>##V3_BDHV12</stp>
        <stp>AMZN US Equity</stp>
        <stp>CF_FREE_CASH_FLOW_FIRM</stp>
        <stp>FQ2 2004</stp>
        <stp>FQ2 2004</stp>
        <stp>[FA1_j2ahgkxc.xlsx]Cash Flow - Standardized!R50C24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50" s="4"/>
      </tp>
      <tp>
        <v>114.23</v>
        <stp/>
        <stp>##V3_BDHV12</stp>
        <stp>AMZN US Equity</stp>
        <stp>CF_FREE_CASH_FLOW_FIRM</stp>
        <stp>FQ3 2004</stp>
        <stp>FQ3 2004</stp>
        <stp>[FA1_j2ahgkxc.xlsx]Cash Flow - Standardized!R50C25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50" s="4"/>
      </tp>
      <tp>
        <v>-21.93</v>
        <stp/>
        <stp>##V3_BDHV12</stp>
        <stp>AMZN US Equity</stp>
        <stp>CF_INCR_INVEST</stp>
        <stp>FQ2 2000</stp>
        <stp>FQ2 2000</stp>
        <stp>[FA1_j2ahgkxc.xlsx]Cash Flow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4"/>
      </tp>
      <tp>
        <v>-44.954000000000001</v>
        <stp/>
        <stp>##V3_BDHV12</stp>
        <stp>AMZN US Equity</stp>
        <stp>CF_INCR_INVEST</stp>
        <stp>FQ3 2000</stp>
        <stp>FQ3 2000</stp>
        <stp>[FA1_j2ahgkxc.xlsx]Cash Flow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4"/>
      </tp>
      <tp t="s">
        <v>—</v>
        <stp/>
        <stp>##V3_BDHV12</stp>
        <stp>AMZN US Equity</stp>
        <stp>BS_OPTIONS_GRANTED</stp>
        <stp>FQ4 2000</stp>
        <stp>FQ4 2000</stp>
        <stp>[FA1_j2ahgkxc.xlsx]Bal Sheet - Standardized!R63C10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3" s="3"/>
      </tp>
      <tp t="s">
        <v>—</v>
        <stp/>
        <stp>##V3_BDHV12</stp>
        <stp>AMZN US Equity</stp>
        <stp>IS_CAP_INT_EXP</stp>
        <stp>FQ1 1999</stp>
        <stp>FQ1 1999</stp>
        <stp>[FA1_j2ahgkxc.xlsx]Income - Adjusted!R56C4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6" s="2"/>
      </tp>
      <tp>
        <v>-1124.2819999999999</v>
        <stp/>
        <stp>##V3_BDHV12</stp>
        <stp>AMZN US Equity</stp>
        <stp>OTHER_INVESTING_ACT_DETAILED</stp>
        <stp>FQ1 1999</stp>
        <stp>FQ1 1999</stp>
        <stp>[FA1_j2ahgkxc.xlsx]Cash Flow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4"/>
      </tp>
      <tp>
        <v>91.231999999999999</v>
        <stp/>
        <stp>##V3_BDHV12</stp>
        <stp>AMZN US Equity</stp>
        <stp>OTHER_INVESTING_ACT_DETAILED</stp>
        <stp>FQ4 1999</stp>
        <stp>FQ4 1999</stp>
        <stp>[FA1_j2ahgkxc.xlsx]Cash Flow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4"/>
      </tp>
      <tp t="s">
        <v>—</v>
        <stp/>
        <stp>##V3_BDHV12</stp>
        <stp>AMZN US Equity</stp>
        <stp>CF_CASH_PAID_FOR_TAX</stp>
        <stp>FQ1 1999</stp>
        <stp>FQ1 1999</stp>
        <stp>[FA1_j2ahgkxc.xlsx]Cash Flow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4"/>
      </tp>
      <tp t="s">
        <v>—</v>
        <stp/>
        <stp>##V3_BDHV12</stp>
        <stp>AMZN US Equity</stp>
        <stp>CF_CASH_PAID_FOR_TAX</stp>
        <stp>FQ4 1999</stp>
        <stp>FQ4 1999</stp>
        <stp>[FA1_j2ahgkxc.xlsx]Cash Flow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4"/>
      </tp>
      <tp t="s">
        <v>—</v>
        <stp/>
        <stp>##V3_BDHV12</stp>
        <stp>AMZN US Equity</stp>
        <stp>IS_CAP_INT_EXP</stp>
        <stp>FQ1 2000</stp>
        <stp>FQ1 2000</stp>
        <stp>[FA1_j2ahgkxc.xlsx]Income - Adjusted!R56C8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6" s="2"/>
      </tp>
      <tp>
        <v>-3.1427999999999998</v>
        <stp/>
        <stp>##V3_BDHV12</stp>
        <stp>AMZN US Equity</stp>
        <stp>BOOK_VAL_PER_SH</stp>
        <stp>FQ2 2003</stp>
        <stp>FQ2 2003</stp>
        <stp>[FA1_j2ahgkxc.xlsx]Per Share!R26C20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6" s="5"/>
      </tp>
      <tp>
        <v>-3.948</v>
        <stp/>
        <stp>##V3_BDHV12</stp>
        <stp>AMZN US Equity</stp>
        <stp>BOOK_VAL_PER_SH</stp>
        <stp>FQ2 2001</stp>
        <stp>FQ2 2001</stp>
        <stp>[FA1_j2ahgkxc.xlsx]Per Share!R26C12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6" s="5"/>
      </tp>
      <tp>
        <v>244.82400000000001</v>
        <stp/>
        <stp>##V3_BDHV12</stp>
        <stp>AMZN US Equity</stp>
        <stp>OTHER_INVESTING_ACT_DETAILED</stp>
        <stp>FQ2 1999</stp>
        <stp>FQ2 1999</stp>
        <stp>[FA1_j2ahgkxc.xlsx]Cash Flow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4"/>
      </tp>
      <tp>
        <v>123.322</v>
        <stp/>
        <stp>##V3_BDHV12</stp>
        <stp>AMZN US Equity</stp>
        <stp>OTHER_INVESTING_ACT_DETAILED</stp>
        <stp>FQ3 1999</stp>
        <stp>FQ3 1999</stp>
        <stp>[FA1_j2ahgkxc.xlsx]Cash Flow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4"/>
      </tp>
      <tp t="s">
        <v>—</v>
        <stp/>
        <stp>##V3_BDHV12</stp>
        <stp>AMZN US Equity</stp>
        <stp>CF_CASH_PAID_FOR_TAX</stp>
        <stp>FQ2 1999</stp>
        <stp>FQ2 1999</stp>
        <stp>[FA1_j2ahgkxc.xlsx]Cash Flow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4"/>
      </tp>
      <tp t="s">
        <v>—</v>
        <stp/>
        <stp>##V3_BDHV12</stp>
        <stp>AMZN US Equity</stp>
        <stp>CF_CASH_PAID_FOR_TAX</stp>
        <stp>FQ3 1999</stp>
        <stp>FQ3 1999</stp>
        <stp>[FA1_j2ahgkxc.xlsx]Cash Flow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4"/>
      </tp>
      <tp>
        <v>0.48180000000000001</v>
        <stp/>
        <stp>##V3_BDHV12</stp>
        <stp>AMZN US Equity</stp>
        <stp>FREE_CASH_FLOW_PER_SH</stp>
        <stp>FQ2 2005</stp>
        <stp>FQ2 2005</stp>
        <stp>[FA1_j2ahgkxc.xlsx]Cash Flow - Standardized!R52C28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2" s="4"/>
      </tp>
      <tp>
        <v>0.18640000000000001</v>
        <stp/>
        <stp>##V3_BDHV12</stp>
        <stp>AMZN US Equity</stp>
        <stp>FREE_CASH_FLOW_PER_SH</stp>
        <stp>FQ3 2005</stp>
        <stp>FQ3 2005</stp>
        <stp>[FA1_j2ahgkxc.xlsx]Cash Flow - Standardized!R52C29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2" s="4"/>
      </tp>
      <tp>
        <v>126.024</v>
        <stp/>
        <stp>##V3_BDHV12</stp>
        <stp>AMZN US Equity</stp>
        <stp>CF_CASH_FROM_OPER</stp>
        <stp>FQ2 2003</stp>
        <stp>FQ2 2003</stp>
        <stp>[FA1_j2ahgkxc.xlsx]Cash Flow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4"/>
      </tp>
      <tp>
        <v>-406.98399999999998</v>
        <stp/>
        <stp>##V3_BDHV12</stp>
        <stp>AMZN US Equity</stp>
        <stp>CF_CASH_FROM_OPER</stp>
        <stp>FQ1 2001</stp>
        <stp>FQ1 2001</stp>
        <stp>[FA1_j2ahgkxc.xlsx]Cash Flow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4"/>
      </tp>
      <tp>
        <v>17.681000000000001</v>
        <stp/>
        <stp>##V3_BDHV12</stp>
        <stp>AMZN US Equity</stp>
        <stp>IS_DEPR_EXP</stp>
        <stp>FQ1 2004</stp>
        <stp>FQ1 2004</stp>
        <stp>[FA1_j2ahgkxc.xlsx]Income - Adjusted!R57C23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7" s="2"/>
      </tp>
      <tp>
        <v>41</v>
        <stp/>
        <stp>##V3_BDHV12</stp>
        <stp>AMZN US Equity</stp>
        <stp>IS_DEPR_EXP</stp>
        <stp>FQ2 2006</stp>
        <stp>FQ2 2006</stp>
        <stp>[FA1_j2ahgkxc.xlsx]Income - Adjusted!R57C32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7" s="2"/>
      </tp>
      <tp>
        <v>237</v>
        <stp/>
        <stp>##V3_BDHV12</stp>
        <stp>AMZN US Equity</stp>
        <stp>CF_CASH_FROM_OPER</stp>
        <stp>FQ3 2007</stp>
        <stp>FQ3 2007</stp>
        <stp>[FA1_j2ahgkxc.xlsx]Cash Flow - Standardized!R18C37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4"/>
      </tp>
      <tp>
        <v>143.036</v>
        <stp/>
        <stp>##V3_BDHV12</stp>
        <stp>AMZN US Equity</stp>
        <stp>CF_CASH_FROM_OPER</stp>
        <stp>FQ2 2004</stp>
        <stp>FQ2 2004</stp>
        <stp>[FA1_j2ahgkxc.xlsx]Cash Flow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4"/>
      </tp>
      <tp>
        <v>61</v>
        <stp/>
        <stp>##V3_BDHV12</stp>
        <stp>AMZN US Equity</stp>
        <stp>IS_DEPR_EXP</stp>
        <stp>FQ3 2007</stp>
        <stp>FQ3 2007</stp>
        <stp>[FA1_j2ahgkxc.xlsx]Income - Adjusted!R57C37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7" s="2"/>
      </tp>
      <tp>
        <v>-241.03299999999999</v>
        <stp/>
        <stp>##V3_BDHV12</stp>
        <stp>AMZN US Equity</stp>
        <stp>CF_CASH_FROM_OPER</stp>
        <stp>FQ1 2002</stp>
        <stp>FQ1 2002</stp>
        <stp>[FA1_j2ahgkxc.xlsx]Cash Flow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4"/>
      </tp>
      <tp>
        <v>130</v>
        <stp/>
        <stp>##V3_BDHV12</stp>
        <stp>AMZN US Equity</stp>
        <stp>CF_CASH_FROM_OPER</stp>
        <stp>FQ3 2006</stp>
        <stp>FQ3 2006</stp>
        <stp>[FA1_j2ahgkxc.xlsx]Cash Flow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4"/>
      </tp>
      <tp>
        <v>-251.78200000000001</v>
        <stp/>
        <stp>##V3_BDHV12</stp>
        <stp>AMZN US Equity</stp>
        <stp>CF_CASH_FROM_OPER</stp>
        <stp>FQ1 2003</stp>
        <stp>FQ1 2003</stp>
        <stp>[FA1_j2ahgkxc.xlsx]Cash Flow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4"/>
      </tp>
      <tp>
        <v>14.589</v>
        <stp/>
        <stp>##V3_BDHV12</stp>
        <stp>AMZN US Equity</stp>
        <stp>IS_DEPR_EXP</stp>
        <stp>FQ4 2002</stp>
        <stp>FQ4 2002</stp>
        <stp>[FA1_j2ahgkxc.xlsx]Income - Adjusted!R57C18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7" s="2"/>
      </tp>
      <tp>
        <v>244</v>
        <stp/>
        <stp>##V3_BDHV12</stp>
        <stp>AMZN US Equity</stp>
        <stp>CF_CASH_FROM_OPER</stp>
        <stp>FQ2 2005</stp>
        <stp>FQ2 2005</stp>
        <stp>[FA1_j2ahgkxc.xlsx]Cash Flow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4"/>
      </tp>
      <tp>
        <v>1571</v>
        <stp/>
        <stp>##V3_BDHV12</stp>
        <stp>AMZN US Equity</stp>
        <stp>CF_CASH_FROM_OPER</stp>
        <stp>FQ4 2008</stp>
        <stp>FQ4 2008</stp>
        <stp>[FA1_j2ahgkxc.xlsx]Cash Flow - Standardized!R18C42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4"/>
      </tp>
      <tp>
        <v>73.358999999999995</v>
        <stp/>
        <stp>##V3_BDHV12</stp>
        <stp>AMZN US Equity</stp>
        <stp>BS_DISCLOSED_INTANGIBLES</stp>
        <stp>FQ1 2003</stp>
        <stp>FQ1 2003</stp>
        <stp>[FA1_j2ahgkxc.xlsx]Bal Sheet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3"/>
      </tp>
      <tp>
        <v>274</v>
        <stp/>
        <stp>##V3_BDHV12</stp>
        <stp>AMZN US Equity</stp>
        <stp>BS_ACCT_NOTE_RCV</stp>
        <stp>FQ4 2005</stp>
        <stp>FQ4 2005</stp>
        <stp>[FA1_j2ahgkxc.xlsx]Bal Sheet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3"/>
      </tp>
      <tp>
        <v>154</v>
        <stp/>
        <stp>##V3_BDHV12</stp>
        <stp>AMZN US Equity</stp>
        <stp>BS_DISCLOSED_INTANGIBLES</stp>
        <stp>FQ2 2005</stp>
        <stp>FQ2 2005</stp>
        <stp>[FA1_j2ahgkxc.xlsx]Bal Sheet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3"/>
      </tp>
      <tp>
        <v>438</v>
        <stp/>
        <stp>##V3_BDHV12</stp>
        <stp>AMZN US Equity</stp>
        <stp>BS_DISCLOSED_INTANGIBLES</stp>
        <stp>FQ4 2008</stp>
        <stp>FQ4 2008</stp>
        <stp>[FA1_j2ahgkxc.xlsx]Bal Sheet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3"/>
      </tp>
      <tp>
        <v>399</v>
        <stp/>
        <stp>##V3_BDHV12</stp>
        <stp>AMZN US Equity</stp>
        <stp>BS_ACCT_NOTE_RCV</stp>
        <stp>FQ4 2006</stp>
        <stp>FQ4 2006</stp>
        <stp>[FA1_j2ahgkxc.xlsx]Bal Sheet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3"/>
      </tp>
      <tp>
        <v>218</v>
        <stp/>
        <stp>##V3_BDHV12</stp>
        <stp>AMZN US Equity</stp>
        <stp>BS_DISCLOSED_INTANGIBLES</stp>
        <stp>FQ3 2007</stp>
        <stp>FQ3 2007</stp>
        <stp>[FA1_j2ahgkxc.xlsx]Bal Sheet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3"/>
      </tp>
      <tp>
        <v>69.120999999999995</v>
        <stp/>
        <stp>##V3_BDHV12</stp>
        <stp>AMZN US Equity</stp>
        <stp>BS_DISCLOSED_INTANGIBLES</stp>
        <stp>FQ2 2004</stp>
        <stp>FQ2 2004</stp>
        <stp>[FA1_j2ahgkxc.xlsx]Bal Sheet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3"/>
      </tp>
      <tp>
        <v>597</v>
        <stp/>
        <stp>##V3_BDHV12</stp>
        <stp>AMZN US Equity</stp>
        <stp>BS_ACCT_NOTE_RCV</stp>
        <stp>FQ3 2008</stp>
        <stp>FQ3 2008</stp>
        <stp>[FA1_j2ahgkxc.xlsx]Bal Sheet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3"/>
      </tp>
      <tp>
        <v>72.445999999999998</v>
        <stp/>
        <stp>##V3_BDHV12</stp>
        <stp>AMZN US Equity</stp>
        <stp>BS_DISCLOSED_INTANGIBLES</stp>
        <stp>FQ2 2003</stp>
        <stp>FQ2 2003</stp>
        <stp>[FA1_j2ahgkxc.xlsx]Bal Sheet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3"/>
      </tp>
      <tp>
        <v>204.42</v>
        <stp/>
        <stp>##V3_BDHV12</stp>
        <stp>AMZN US Equity</stp>
        <stp>BS_DISCLOSED_INTANGIBLES</stp>
        <stp>FQ1 2001</stp>
        <stp>FQ1 2001</stp>
        <stp>[FA1_j2ahgkxc.xlsx]Bal Sheet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3"/>
      </tp>
      <tp>
        <v>705</v>
        <stp/>
        <stp>##V3_BDHV12</stp>
        <stp>AMZN US Equity</stp>
        <stp>BS_ACCT_NOTE_RCV</stp>
        <stp>FQ4 2007</stp>
        <stp>FQ4 2007</stp>
        <stp>[FA1_j2ahgkxc.xlsx]Bal Sheet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3"/>
      </tp>
      <tp>
        <v>194</v>
        <stp/>
        <stp>##V3_BDHV12</stp>
        <stp>AMZN US Equity</stp>
        <stp>BS_DISCLOSED_INTANGIBLES</stp>
        <stp>FQ3 2006</stp>
        <stp>FQ3 2006</stp>
        <stp>[FA1_j2ahgkxc.xlsx]Bal Sheet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3"/>
      </tp>
      <tp>
        <v>77.77</v>
        <stp/>
        <stp>##V3_BDHV12</stp>
        <stp>AMZN US Equity</stp>
        <stp>BS_DISCLOSED_INTANGIBLES</stp>
        <stp>FQ1 2002</stp>
        <stp>FQ1 2002</stp>
        <stp>[FA1_j2ahgkxc.xlsx]Bal Sheet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3"/>
      </tp>
      <tp>
        <v>355.68099999999998</v>
        <stp/>
        <stp>##V3_BDHV12</stp>
        <stp>AMZN US Equity</stp>
        <stp>IS_SH_FOR_DILUTED_EPS</stp>
        <stp>FQ4 2000</stp>
        <stp>FQ4 2000</stp>
        <stp>[FA1_j2ahgkxc.xlsx]Income - Adjusted!R39C10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9" s="2"/>
      </tp>
      <tp>
        <v>424.678</v>
        <stp/>
        <stp>##V3_BDHV12</stp>
        <stp>AMZN US Equity</stp>
        <stp>IS_SH_FOR_DILUTED_EPS</stp>
        <stp>FQ2 2004</stp>
        <stp>FQ2 2004</stp>
        <stp>[FA1_j2ahgkxc.xlsx]Income - Adjusted!R39C24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9" s="2"/>
      </tp>
      <tp>
        <v>425</v>
        <stp/>
        <stp>##V3_BDHV12</stp>
        <stp>AMZN US Equity</stp>
        <stp>IS_SH_FOR_DILUTED_EPS</stp>
        <stp>FQ3 2007</stp>
        <stp>FQ3 2007</stp>
        <stp>[FA1_j2ahgkxc.xlsx]Income - Adjusted!R39C37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9" s="2"/>
      </tp>
      <tp>
        <v>357.42399999999998</v>
        <stp/>
        <stp>##V3_BDHV12</stp>
        <stp>AMZN US Equity</stp>
        <stp>IS_SH_FOR_DILUTED_EPS</stp>
        <stp>FQ1 2001</stp>
        <stp>FQ1 2001</stp>
        <stp>[FA1_j2ahgkxc.xlsx]Income - Adjusted!R39C11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9" s="2"/>
      </tp>
      <tp>
        <v>0.1</v>
        <stp/>
        <stp>##V3_BDHV12</stp>
        <stp>AMZN US Equity</stp>
        <stp>IS_BASIC_EPS_CONT_OPS</stp>
        <stp>FQ1 2003</stp>
        <stp>FQ1 2003</stp>
        <stp>[FA1_j2ahgkxc.xlsx]Income - Adjusted!R37C19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7" s="2"/>
      </tp>
      <tp>
        <v>0.2</v>
        <stp/>
        <stp>##V3_BDHV12</stp>
        <stp>AMZN US Equity</stp>
        <stp>IS_BASIC_EPS_CONT_OPS</stp>
        <stp>FQ4 2002</stp>
        <stp>FQ4 2002</stp>
        <stp>[FA1_j2ahgkxc.xlsx]Income - Adjusted!R37C18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7" s="2"/>
      </tp>
      <tp>
        <v>0.52</v>
        <stp/>
        <stp>##V3_BDHV12</stp>
        <stp>AMZN US Equity</stp>
        <stp>IS_BASIC_EPS_CONT_OPS</stp>
        <stp>FQ4 2008</stp>
        <stp>FQ4 2008</stp>
        <stp>[FA1_j2ahgkxc.xlsx]Income - Adjusted!R37C42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7" s="2"/>
      </tp>
      <tp>
        <v>-0.62119999999999997</v>
        <stp/>
        <stp>##V3_BDHV12</stp>
        <stp>AMZN US Equity</stp>
        <stp>CASH_FLOW_PER_SH</stp>
        <stp>FQ1 2004</stp>
        <stp>FQ1 2004</stp>
        <stp>[FA1_j2ahgkxc.xlsx]Per Share!R22C23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2" s="5"/>
      </tp>
      <tp>
        <v>-0.72660000000000002</v>
        <stp/>
        <stp>##V3_BDHV12</stp>
        <stp>AMZN US Equity</stp>
        <stp>CASH_FLOW_PER_SH</stp>
        <stp>FQ1 2006</stp>
        <stp>FQ1 2006</stp>
        <stp>[FA1_j2ahgkxc.xlsx]Per Share!R22C31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2" s="5"/>
      </tp>
      <tp>
        <v>-0.64610000000000001</v>
        <stp/>
        <stp>##V3_BDHV12</stp>
        <stp>AMZN US Equity</stp>
        <stp>CASH_FLOW_PER_SH</stp>
        <stp>FQ1 2002</stp>
        <stp>FQ1 2002</stp>
        <stp>[FA1_j2ahgkxc.xlsx]Per Share!R22C15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2" s="5"/>
      </tp>
      <tp>
        <v>0</v>
        <stp/>
        <stp>##V3_BDHV12</stp>
        <stp>AMZN US Equity</stp>
        <stp>CF_NET_CASH_PAID_FOR_AQUIS</stp>
        <stp>FQ3 2001</stp>
        <stp>FQ3 2001</stp>
        <stp>[FA1_j2ahgkxc.xlsx]Cash Flow - Standardized!R47C13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4"/>
      </tp>
      <tp>
        <v>355</v>
        <stp/>
        <stp>##V3_BDHV12</stp>
        <stp>AMZN US Equity</stp>
        <stp>CF_NET_CASH_PAID_FOR_AQUIS</stp>
        <stp>FQ1 2008</stp>
        <stp>FQ1 2008</stp>
        <stp>[FA1_j2ahgkxc.xlsx]Cash Flow - Standardized!R47C39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4"/>
      </tp>
      <tp>
        <v>1</v>
        <stp/>
        <stp>##V3_BDHV12</stp>
        <stp>AMZN US Equity</stp>
        <stp>CF_NET_CASH_PAID_FOR_AQUIS</stp>
        <stp>FQ1 2007</stp>
        <stp>FQ1 2007</stp>
        <stp>[FA1_j2ahgkxc.xlsx]Cash Flow - Standardized!R47C35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4"/>
      </tp>
      <tp>
        <v>0</v>
        <stp/>
        <stp>##V3_BDHV12</stp>
        <stp>AMZN US Equity</stp>
        <stp>CF_DECR_INVEST</stp>
        <stp>FQ1 1999</stp>
        <stp>FQ1 1999</stp>
        <stp>[FA1_j2ahgkxc.xlsx]Cash Flow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4"/>
      </tp>
      <tp>
        <v>0</v>
        <stp/>
        <stp>##V3_BDHV12</stp>
        <stp>AMZN US Equity</stp>
        <stp>CF_DECR_INVEST</stp>
        <stp>FQ4 1999</stp>
        <stp>FQ4 1999</stp>
        <stp>[FA1_j2ahgkxc.xlsx]Cash Flow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4"/>
      </tp>
      <tp>
        <v>0</v>
        <stp/>
        <stp>##V3_BDHV12</stp>
        <stp>AMZN US Equity</stp>
        <stp>BS_PFD_EQTY_&amp;_HYBRID_CPTL</stp>
        <stp>FQ1 2000</stp>
        <stp>FQ1 2000</stp>
        <stp>[FA1_j2ahgkxc.xlsx]Bal Sheet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3"/>
      </tp>
      <tp>
        <v>0</v>
        <stp/>
        <stp>##V3_BDHV12</stp>
        <stp>AMZN US Equity</stp>
        <stp>BS_PFD_EQTY_&amp;_HYBRID_CPTL</stp>
        <stp>FQ3 2000</stp>
        <stp>FQ3 2000</stp>
        <stp>[FA1_j2ahgkxc.xlsx]Bal Sheet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3"/>
      </tp>
      <tp>
        <v>0</v>
        <stp/>
        <stp>##V3_BDHV12</stp>
        <stp>AMZN US Equity</stp>
        <stp>CF_DECR_INVEST</stp>
        <stp>FQ2 1999</stp>
        <stp>FQ2 1999</stp>
        <stp>[FA1_j2ahgkxc.xlsx]Cash Flow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4"/>
      </tp>
      <tp>
        <v>0</v>
        <stp/>
        <stp>##V3_BDHV12</stp>
        <stp>AMZN US Equity</stp>
        <stp>CF_DECR_INVEST</stp>
        <stp>FQ3 1999</stp>
        <stp>FQ3 1999</stp>
        <stp>[FA1_j2ahgkxc.xlsx]Cash Flow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4"/>
      </tp>
      <tp>
        <v>28</v>
        <stp/>
        <stp>##V3_BDHV12</stp>
        <stp>AMZN US Equity</stp>
        <stp>CF_NET_CASH_PAID_FOR_AQUIS</stp>
        <stp>FQ1 2006</stp>
        <stp>FQ1 2006</stp>
        <stp>[FA1_j2ahgkxc.xlsx]Cash Flow - Standardized!R47C31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4"/>
      </tp>
      <tp>
        <v>0</v>
        <stp/>
        <stp>##V3_BDHV12</stp>
        <stp>AMZN US Equity</stp>
        <stp>CF_NET_CASH_PAID_FOR_AQUIS</stp>
        <stp>FQ3 2002</stp>
        <stp>FQ3 2002</stp>
        <stp>[FA1_j2ahgkxc.xlsx]Cash Flow - Standardized!R47C17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4"/>
      </tp>
      <tp t="s">
        <v>—</v>
        <stp/>
        <stp>##V3_BDHV12</stp>
        <stp>AMZN US Equity</stp>
        <stp>BS_OPTIONS_GRANTED</stp>
        <stp>FQ4 2003</stp>
        <stp>FQ4 2003</stp>
        <stp>[FA1_j2ahgkxc.xlsx]Bal Sheet - Standardized!R63C22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3" s="3"/>
      </tp>
      <tp>
        <v>-307.48149999999998</v>
        <stp/>
        <stp>##V3_BDHV12</stp>
        <stp>AMZN US Equity</stp>
        <stp>CF_FREE_CASH_FLOW_FIRM</stp>
        <stp>FQ1 2005</stp>
        <stp>FQ1 2005</stp>
        <stp>[FA1_j2ahgkxc.xlsx]Cash Flow - Standardized!R50C27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50" s="4"/>
      </tp>
      <tp>
        <v>-298.35419999999999</v>
        <stp/>
        <stp>##V3_BDHV12</stp>
        <stp>AMZN US Equity</stp>
        <stp>CF_FREE_CASH_FLOW_FIRM</stp>
        <stp>FQ1 2007</stp>
        <stp>FQ1 2007</stp>
        <stp>[FA1_j2ahgkxc.xlsx]Cash Flow - Standardized!R50C35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50" s="4"/>
      </tp>
      <tp>
        <v>180.25810000000001</v>
        <stp/>
        <stp>##V3_BDHV12</stp>
        <stp>AMZN US Equity</stp>
        <stp>CF_FREE_CASH_FLOW_FIRM</stp>
        <stp>FQ3 2007</stp>
        <stp>FQ3 2007</stp>
        <stp>[FA1_j2ahgkxc.xlsx]Cash Flow - Standardized!R50C37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50" s="4"/>
      </tp>
      <tp>
        <v>265.35140000000001</v>
        <stp/>
        <stp>##V3_BDHV12</stp>
        <stp>AMZN US Equity</stp>
        <stp>CF_FREE_CASH_FLOW_FIRM</stp>
        <stp>FQ2 2007</stp>
        <stp>FQ2 2007</stp>
        <stp>[FA1_j2ahgkxc.xlsx]Cash Flow - Standardized!R50C36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50" s="4"/>
      </tp>
      <tp>
        <v>173.05099999999999</v>
        <stp/>
        <stp>##V3_BDHV12</stp>
        <stp>AMZN US Equity</stp>
        <stp>CF_DEPR_AMORT</stp>
        <stp>FQ4 1999</stp>
        <stp>FQ4 1999</stp>
        <stp>[FA1_j2ahgkxc.xlsx]Cash Flow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95.742000000000004</v>
        <stp/>
        <stp>##V3_BDHV12</stp>
        <stp>AMZN US Equity</stp>
        <stp>CF_DEPR_AMORT</stp>
        <stp>FQ3 1999</stp>
        <stp>FQ3 1999</stp>
        <stp>[FA1_j2ahgkxc.xlsx]Cash Flow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8.1020000000000003</v>
        <stp/>
        <stp>##V3_BDHV12</stp>
        <stp>AMZN US Equity</stp>
        <stp>CF_DEPR_AMORT</stp>
        <stp>FQ2 1999</stp>
        <stp>FQ2 1999</stp>
        <stp>[FA1_j2ahgkxc.xlsx]Cash Flow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4"/>
      </tp>
      <tp>
        <v>5.2229999999999999</v>
        <stp/>
        <stp>##V3_BDHV12</stp>
        <stp>AMZN US Equity</stp>
        <stp>CF_DEPR_AMORT</stp>
        <stp>FQ1 1999</stp>
        <stp>FQ1 1999</stp>
        <stp>[FA1_j2ahgkxc.xlsx]Cash Flow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3.4346000000000001</v>
        <stp/>
        <stp>##V3_BDHV12</stp>
        <stp>AMZN US Equity</stp>
        <stp>FREE_CASH_FLOW_PER_SH</stp>
        <stp>FQ4 2008</stp>
        <stp>FQ4 2008</stp>
        <stp>[FA1_j2ahgkxc.xlsx]Cash Flow - Standardized!R52C42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2" s="4"/>
      </tp>
      <tp>
        <v>1.0410999999999999</v>
        <stp/>
        <stp>##V3_BDHV12</stp>
        <stp>AMZN US Equity</stp>
        <stp>BOOK_VAL_PER_SH</stp>
        <stp>FQ4 2006</stp>
        <stp>FQ4 2006</stp>
        <stp>[FA1_j2ahgkxc.xlsx]Per Share!R26C34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6" s="5"/>
      </tp>
      <tp>
        <v>-0.55459999999999998</v>
        <stp/>
        <stp>##V3_BDHV12</stp>
        <stp>AMZN US Equity</stp>
        <stp>BOOK_VAL_PER_SH</stp>
        <stp>FQ4 2004</stp>
        <stp>FQ4 2004</stp>
        <stp>[FA1_j2ahgkxc.xlsx]Per Share!R26C26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6" s="5"/>
      </tp>
      <tp>
        <v>0.86309999999999998</v>
        <stp/>
        <stp>##V3_BDHV12</stp>
        <stp>AMZN US Equity</stp>
        <stp>BOOK_VAL_PER_SH</stp>
        <stp>FQ1 2007</stp>
        <stp>FQ1 2007</stp>
        <stp>[FA1_j2ahgkxc.xlsx]Per Share!R26C35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6" s="5"/>
      </tp>
      <tp>
        <v>-0.39419999999999999</v>
        <stp/>
        <stp>##V3_BDHV12</stp>
        <stp>AMZN US Equity</stp>
        <stp>BOOK_VAL_PER_SH</stp>
        <stp>FQ1 2005</stp>
        <stp>FQ1 2005</stp>
        <stp>[FA1_j2ahgkxc.xlsx]Per Share!R26C27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6" s="5"/>
      </tp>
      <tp>
        <v>-3.911</v>
        <stp/>
        <stp>##V3_BDHV12</stp>
        <stp>AMZN US Equity</stp>
        <stp>BOOK_VAL_PER_SH</stp>
        <stp>FQ3 2001</stp>
        <stp>FQ3 2001</stp>
        <stp>[FA1_j2ahgkxc.xlsx]Per Share!R26C13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6" s="5"/>
      </tp>
      <tp>
        <v>-2.8919999999999999</v>
        <stp/>
        <stp>##V3_BDHV12</stp>
        <stp>AMZN US Equity</stp>
        <stp>BOOK_VAL_PER_SH</stp>
        <stp>FQ3 2003</stp>
        <stp>FQ3 2003</stp>
        <stp>[FA1_j2ahgkxc.xlsx]Per Share!R26C21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6" s="5"/>
      </tp>
      <tp>
        <v>0.93059999999999998</v>
        <stp/>
        <stp>##V3_BDHV12</stp>
        <stp>AMZN US Equity</stp>
        <stp>FREE_CASH_FLOW_PER_SH</stp>
        <stp>FQ4 2002</stp>
        <stp>FQ4 2002</stp>
        <stp>[FA1_j2ahgkxc.xlsx]Cash Flow - Standardized!R52C18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2" s="4"/>
      </tp>
      <tp>
        <v>2.4849999999999999</v>
        <stp/>
        <stp>##V3_BDHV12</stp>
        <stp>AMZN US Equity</stp>
        <stp>CF_CASH_FROM_OPER</stp>
        <stp>FQ2 2001</stp>
        <stp>FQ2 2001</stp>
        <stp>[FA1_j2ahgkxc.xlsx]Cash Flow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4"/>
      </tp>
      <tp>
        <v>38</v>
        <stp/>
        <stp>##V3_BDHV12</stp>
        <stp>AMZN US Equity</stp>
        <stp>IS_DEPR_EXP</stp>
        <stp>FQ1 2006</stp>
        <stp>FQ1 2006</stp>
        <stp>[FA1_j2ahgkxc.xlsx]Income - Adjusted!R57C31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7" s="2"/>
      </tp>
      <tp>
        <v>-294</v>
        <stp/>
        <stp>##V3_BDHV12</stp>
        <stp>AMZN US Equity</stp>
        <stp>CF_CASH_FROM_OPER</stp>
        <stp>FQ1 2005</stp>
        <stp>FQ1 2005</stp>
        <stp>[FA1_j2ahgkxc.xlsx]Cash Flow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4"/>
      </tp>
      <tp>
        <v>19.338000000000001</v>
        <stp/>
        <stp>##V3_BDHV12</stp>
        <stp>AMZN US Equity</stp>
        <stp>IS_DEPR_EXP</stp>
        <stp>FQ4 2001</stp>
        <stp>FQ4 2001</stp>
        <stp>[FA1_j2ahgkxc.xlsx]Income - Adjusted!R57C14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7" s="2"/>
      </tp>
      <tp>
        <v>18.129000000000001</v>
        <stp/>
        <stp>##V3_BDHV12</stp>
        <stp>AMZN US Equity</stp>
        <stp>IS_DEPR_EXP</stp>
        <stp>FQ2 2004</stp>
        <stp>FQ2 2004</stp>
        <stp>[FA1_j2ahgkxc.xlsx]Income - Adjusted!R57C24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7" s="2"/>
      </tp>
      <tp>
        <v>4.6370000000000005</v>
        <stp/>
        <stp>##V3_BDHV12</stp>
        <stp>AMZN US Equity</stp>
        <stp>CF_CASH_FROM_OPER</stp>
        <stp>FQ2 2002</stp>
        <stp>FQ2 2002</stp>
        <stp>[FA1_j2ahgkxc.xlsx]Cash Flow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4"/>
      </tp>
      <tp>
        <v>-250.68799999999999</v>
        <stp/>
        <stp>##V3_BDHV12</stp>
        <stp>AMZN US Equity</stp>
        <stp>CF_CASH_FROM_OPER</stp>
        <stp>FQ1 2004</stp>
        <stp>FQ1 2004</stp>
        <stp>[FA1_j2ahgkxc.xlsx]Cash Flow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4"/>
      </tp>
      <tp>
        <v>30</v>
        <stp/>
        <stp>##V3_BDHV12</stp>
        <stp>AMZN US Equity</stp>
        <stp>IS_DEPR_EXP</stp>
        <stp>FQ3 2005</stp>
        <stp>FQ3 2005</stp>
        <stp>[FA1_j2ahgkxc.xlsx]Income - Adjusted!R57C29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7" s="2"/>
      </tp>
      <tp>
        <v>161.69999999999999</v>
        <stp/>
        <stp>##V3_BDHV12</stp>
        <stp>AMZN US Equity</stp>
        <stp>BS_DISCLOSED_INTANGIBLES</stp>
        <stp>FQ1 2005</stp>
        <stp>FQ1 2005</stp>
        <stp>[FA1_j2ahgkxc.xlsx]Bal Sheet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3"/>
      </tp>
      <tp>
        <v>152.89500000000001</v>
        <stp/>
        <stp>##V3_BDHV12</stp>
        <stp>AMZN US Equity</stp>
        <stp>BS_DISCLOSED_INTANGIBLES</stp>
        <stp>FQ2 2001</stp>
        <stp>FQ2 2001</stp>
        <stp>[FA1_j2ahgkxc.xlsx]Bal Sheet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0</v>
        <stp/>
        <stp>##V3_BDHV12</stp>
        <stp>AMZN US Equity</stp>
        <stp>EQY_DPS</stp>
        <stp>FQ3 2002</stp>
        <stp>FQ3 2002</stp>
        <stp>[FA1_j2ahgkxc.xlsx]Income - Adjusted!R54C17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4" s="2"/>
      </tp>
      <tp>
        <v>0</v>
        <stp/>
        <stp>##V3_BDHV12</stp>
        <stp>AMZN US Equity</stp>
        <stp>EQY_DPS</stp>
        <stp>FQ3 2006</stp>
        <stp>FQ3 2006</stp>
        <stp>[FA1_j2ahgkxc.xlsx]Income - Adjusted!R54C33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4" s="2"/>
      </tp>
      <tp>
        <v>0</v>
        <stp/>
        <stp>##V3_BDHV12</stp>
        <stp>AMZN US Equity</stp>
        <stp>EQY_DPS</stp>
        <stp>FQ4 2005</stp>
        <stp>FQ4 2005</stp>
        <stp>[FA1_j2ahgkxc.xlsx]Income - Adjusted!R54C30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4" s="2"/>
      </tp>
      <tp>
        <v>0</v>
        <stp/>
        <stp>##V3_BDHV12</stp>
        <stp>AMZN US Equity</stp>
        <stp>EQY_DPS</stp>
        <stp>FQ4 2001</stp>
        <stp>FQ4 2001</stp>
        <stp>[FA1_j2ahgkxc.xlsx]Income - Adjusted!R54C14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4" s="2"/>
      </tp>
      <tp>
        <v>69.120999999999995</v>
        <stp/>
        <stp>##V3_BDHV12</stp>
        <stp>AMZN US Equity</stp>
        <stp>BS_DISCLOSED_INTANGIBLES</stp>
        <stp>FQ1 2004</stp>
        <stp>FQ1 2004</stp>
        <stp>[FA1_j2ahgkxc.xlsx]Bal Sheet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3"/>
      </tp>
      <tp>
        <v>76.396000000000001</v>
        <stp/>
        <stp>##V3_BDHV12</stp>
        <stp>AMZN US Equity</stp>
        <stp>BS_DISCLOSED_INTANGIBLES</stp>
        <stp>FQ2 2002</stp>
        <stp>FQ2 2002</stp>
        <stp>[FA1_j2ahgkxc.xlsx]Bal Sheet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3"/>
      </tp>
      <tp>
        <v>359.75200000000001</v>
        <stp/>
        <stp>##V3_BDHV12</stp>
        <stp>AMZN US Equity</stp>
        <stp>IS_SH_FOR_DILUTED_EPS</stp>
        <stp>FQ2 2001</stp>
        <stp>FQ2 2001</stp>
        <stp>[FA1_j2ahgkxc.xlsx]Income - Adjusted!R39C12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9" s="2"/>
      </tp>
      <tp>
        <v>418.13799999999998</v>
        <stp/>
        <stp>##V3_BDHV12</stp>
        <stp>AMZN US Equity</stp>
        <stp>IS_SH_FOR_DILUTED_EPS</stp>
        <stp>FQ2 2003</stp>
        <stp>FQ2 2003</stp>
        <stp>[FA1_j2ahgkxc.xlsx]Income - Adjusted!R39C20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9" s="2"/>
      </tp>
      <tp>
        <v>0.28000000000000003</v>
        <stp/>
        <stp>##V3_BDHV12</stp>
        <stp>AMZN US Equity</stp>
        <stp>IS_BASIC_EPS_CONT_OPS</stp>
        <stp>FQ3 2008</stp>
        <stp>FQ3 2008</stp>
        <stp>[FA1_j2ahgkxc.xlsx]Income - Adjusted!R37C41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7" s="2"/>
      </tp>
      <tp>
        <v>0.311</v>
        <stp/>
        <stp>##V3_BDHV12</stp>
        <stp>AMZN US Equity</stp>
        <stp>CASH_FLOW_PER_SH</stp>
        <stp>FQ2 2006</stp>
        <stp>FQ2 2006</stp>
        <stp>[FA1_j2ahgkxc.xlsx]Per Share!R22C32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2" s="5"/>
      </tp>
      <tp>
        <v>1.23E-2</v>
        <stp/>
        <stp>##V3_BDHV12</stp>
        <stp>AMZN US Equity</stp>
        <stp>CASH_FLOW_PER_SH</stp>
        <stp>FQ2 2002</stp>
        <stp>FQ2 2002</stp>
        <stp>[FA1_j2ahgkxc.xlsx]Per Share!R22C16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2" s="5"/>
      </tp>
      <tp t="s">
        <v>—</v>
        <stp/>
        <stp>##V3_BDHV12</stp>
        <stp>AMZN US Equity</stp>
        <stp>PX_TO_FREE_CASH_FLOW</stp>
        <stp>FQ4 2000</stp>
        <stp>FQ4 2000</stp>
        <stp>[FA1_j2ahgkxc.xlsx]Cash Flow - Standardized!R53C10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3" s="4"/>
      </tp>
      <tp>
        <v>0</v>
        <stp/>
        <stp>##V3_BDHV12</stp>
        <stp>AMZN US Equity</stp>
        <stp>CF_NET_CASH_PAID_FOR_AQUIS</stp>
        <stp>FQ3 2003</stp>
        <stp>FQ3 2003</stp>
        <stp>[FA1_j2ahgkxc.xlsx]Cash Flow - Standardized!R47C21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4"/>
      </tp>
      <tp>
        <v>22</v>
        <stp/>
        <stp>##V3_BDHV12</stp>
        <stp>AMZN US Equity</stp>
        <stp>CF_NET_CASH_PAID_FOR_AQUIS</stp>
        <stp>FQ2 2007</stp>
        <stp>FQ2 2007</stp>
        <stp>[FA1_j2ahgkxc.xlsx]Cash Flow - Standardized!R47C36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4"/>
      </tp>
      <tp>
        <v>71.194999999999993</v>
        <stp/>
        <stp>##V3_BDHV12</stp>
        <stp>AMZN US Equity</stp>
        <stp>CF_NET_CASH_PAID_FOR_AQUIS</stp>
        <stp>FQ3 2004</stp>
        <stp>FQ3 2004</stp>
        <stp>[FA1_j2ahgkxc.xlsx]Cash Flow - Standardized!R47C25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4"/>
      </tp>
      <tp>
        <v>-690.65369999999996</v>
        <stp/>
        <stp>##V3_BDHV12</stp>
        <stp>AMZN US Equity</stp>
        <stp>CF_FREE_CASH_FLOW_FIRM</stp>
        <stp>FQ1 2008</stp>
        <stp>FQ1 2008</stp>
        <stp>[FA1_j2ahgkxc.xlsx]Cash Flow - Standardized!R50C39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50" s="4"/>
      </tp>
      <tp>
        <v>0</v>
        <stp/>
        <stp>##V3_BDHV12</stp>
        <stp>AMZN US Equity</stp>
        <stp>CF_NET_CASH_PAID_FOR_AQUIS</stp>
        <stp>FQ2 2006</stp>
        <stp>FQ2 2006</stp>
        <stp>[FA1_j2ahgkxc.xlsx]Cash Flow - Standardized!R47C32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4"/>
      </tp>
      <tp t="s">
        <v>—</v>
        <stp/>
        <stp>##V3_BDHV12</stp>
        <stp>AMZN US Equity</stp>
        <stp>BS_OPTIONS_GRANTED</stp>
        <stp>FQ1 2002</stp>
        <stp>FQ1 2002</stp>
        <stp>[FA1_j2ahgkxc.xlsx]Bal Sheet - Standardized!R63C15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3" s="3"/>
      </tp>
      <tp t="s">
        <v>—</v>
        <stp/>
        <stp>##V3_BDHV12</stp>
        <stp>AMZN US Equity</stp>
        <stp>BS_OPTIONS_GRANTED</stp>
        <stp>FQ2 2002</stp>
        <stp>FQ2 2002</stp>
        <stp>[FA1_j2ahgkxc.xlsx]Bal Sheet - Standardized!R63C16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3" s="3"/>
      </tp>
      <tp t="s">
        <v>—</v>
        <stp/>
        <stp>##V3_BDHV12</stp>
        <stp>AMZN US Equity</stp>
        <stp>BS_OPTIONS_GRANTED</stp>
        <stp>FQ3 2002</stp>
        <stp>FQ3 2002</stp>
        <stp>[FA1_j2ahgkxc.xlsx]Bal Sheet - Standardized!R63C17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3" s="3"/>
      </tp>
      <tp>
        <v>0</v>
        <stp/>
        <stp>##V3_BDHV12</stp>
        <stp>AMZN US Equity</stp>
        <stp>BS_OPTIONS_GRANTED</stp>
        <stp>FQ4 2006</stp>
        <stp>FQ4 2006</stp>
        <stp>[FA1_j2ahgkxc.xlsx]Bal Sheet - Standardized!R63C34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3" s="3"/>
      </tp>
      <tp t="s">
        <v>—</v>
        <stp/>
        <stp>##V3_BDHV12</stp>
        <stp>AMZN US Equity</stp>
        <stp>BS_OPTIONS_GRANTED</stp>
        <stp>FQ2 2006</stp>
        <stp>FQ2 2006</stp>
        <stp>[FA1_j2ahgkxc.xlsx]Bal Sheet - Standardized!R63C32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3" s="3"/>
      </tp>
      <tp t="s">
        <v>—</v>
        <stp/>
        <stp>##V3_BDHV12</stp>
        <stp>AMZN US Equity</stp>
        <stp>BS_OPTIONS_GRANTED</stp>
        <stp>FQ3 2006</stp>
        <stp>FQ3 2006</stp>
        <stp>[FA1_j2ahgkxc.xlsx]Bal Sheet - Standardized!R63C33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3" s="3"/>
      </tp>
      <tp t="s">
        <v>—</v>
        <stp/>
        <stp>##V3_BDHV12</stp>
        <stp>AMZN US Equity</stp>
        <stp>BS_OPTIONS_GRANTED</stp>
        <stp>FQ1 2006</stp>
        <stp>FQ1 2006</stp>
        <stp>[FA1_j2ahgkxc.xlsx]Bal Sheet - Standardized!R63C31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3" s="3"/>
      </tp>
      <tp>
        <v>4</v>
        <stp/>
        <stp>##V3_BDHV12</stp>
        <stp>AMZN US Equity</stp>
        <stp>CF_NET_CASH_PAID_FOR_AQUIS</stp>
        <stp>FQ3 2005</stp>
        <stp>FQ3 2005</stp>
        <stp>[FA1_j2ahgkxc.xlsx]Cash Flow - Standardized!R47C29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4"/>
      </tp>
      <tp t="s">
        <v>—</v>
        <stp/>
        <stp>##V3_BDHV12</stp>
        <stp>AMZN US Equity</stp>
        <stp>BS_OPTIONS_GRANTED</stp>
        <stp>FQ4 2004</stp>
        <stp>FQ4 2004</stp>
        <stp>[FA1_j2ahgkxc.xlsx]Bal Sheet - Standardized!R63C26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3" s="3"/>
      </tp>
      <tp t="s">
        <v>—</v>
        <stp/>
        <stp>##V3_BDHV12</stp>
        <stp>AMZN US Equity</stp>
        <stp>BS_OPTIONS_GRANTED</stp>
        <stp>FQ1 2004</stp>
        <stp>FQ1 2004</stp>
        <stp>[FA1_j2ahgkxc.xlsx]Bal Sheet - Standardized!R63C23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3" s="3"/>
      </tp>
      <tp>
        <v>58.975000000000001</v>
        <stp/>
        <stp>##V3_BDHV12</stp>
        <stp>AMZN US Equity</stp>
        <stp>EBITDA</stp>
        <stp>FQ1 2003</stp>
        <stp>FQ1 2003</stp>
        <stp>[FA1_j2ahgkxc.xlsx]Cash Flow - Standardized!R45C19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5" s="4"/>
      </tp>
      <tp>
        <v>334</v>
        <stp/>
        <stp>##V3_BDHV12</stp>
        <stp>AMZN US Equity</stp>
        <stp>EBITDA</stp>
        <stp>FQ4 2007</stp>
        <stp>FQ4 2007</stp>
        <stp>[FA1_j2ahgkxc.xlsx]Cash Flow - Standardized!R45C38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45" s="4"/>
      </tp>
      <tp t="s">
        <v>—</v>
        <stp/>
        <stp>##V3_BDHV12</stp>
        <stp>AMZN US Equity</stp>
        <stp>IS_CAP_INT_EXP</stp>
        <stp>FQ3 1999</stp>
        <stp>FQ3 1999</stp>
        <stp>[FA1_j2ahgkxc.xlsx]Income - Adjusted!R56C6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6" s="2"/>
      </tp>
      <tp>
        <v>-2.5686999999999998</v>
        <stp/>
        <stp>##V3_BDHV12</stp>
        <stp>AMZN US Equity</stp>
        <stp>BOOK_VAL_PER_SH</stp>
        <stp>FQ4 2003</stp>
        <stp>FQ4 2003</stp>
        <stp>[FA1_j2ahgkxc.xlsx]Per Share!R26C22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6" s="5"/>
      </tp>
      <tp>
        <v>3.5251999999999999</v>
        <stp/>
        <stp>##V3_BDHV12</stp>
        <stp>AMZN US Equity</stp>
        <stp>BOOK_VAL_PER_SH</stp>
        <stp>FQ1 2008</stp>
        <stp>FQ1 2008</stp>
        <stp>[FA1_j2ahgkxc.xlsx]Per Share!R26C39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6" s="5"/>
      </tp>
      <tp>
        <v>1.3317000000000001</v>
        <stp/>
        <stp>##V3_BDHV12</stp>
        <stp>AMZN US Equity</stp>
        <stp>BOOK_VAL_PER_SH</stp>
        <stp>FQ2 2007</stp>
        <stp>FQ2 2007</stp>
        <stp>[FA1_j2ahgkxc.xlsx]Per Share!R26C36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6" s="5"/>
      </tp>
      <tp>
        <v>-1.7697000000000001</v>
        <stp/>
        <stp>##V3_BDHV12</stp>
        <stp>AMZN US Equity</stp>
        <stp>BOOK_VAL_PER_SH</stp>
        <stp>FQ3 2004</stp>
        <stp>FQ3 2004</stp>
        <stp>[FA1_j2ahgkxc.xlsx]Per Share!R26C25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6" s="5"/>
      </tp>
      <tp t="s">
        <v>—</v>
        <stp/>
        <stp>##V3_BDHV12</stp>
        <stp>AMZN US Equity</stp>
        <stp>IS_CAP_INT_EXP</stp>
        <stp>FQ3 2000</stp>
        <stp>FQ3 2000</stp>
        <stp>[FA1_j2ahgkxc.xlsx]Income - Adjusted!R56C9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6" s="2"/>
      </tp>
      <tp>
        <v>-64.403000000000006</v>
        <stp/>
        <stp>##V3_BDHV12</stp>
        <stp>AMZN US Equity</stp>
        <stp>CF_CASH_FROM_OPER</stp>
        <stp>FQ3 2001</stp>
        <stp>FQ3 2001</stp>
        <stp>[FA1_j2ahgkxc.xlsx]Cash Flow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4"/>
      </tp>
      <tp>
        <v>-645</v>
        <stp/>
        <stp>##V3_BDHV12</stp>
        <stp>AMZN US Equity</stp>
        <stp>CF_CASH_FROM_OPER</stp>
        <stp>FQ1 2008</stp>
        <stp>FQ1 2008</stp>
        <stp>[FA1_j2ahgkxc.xlsx]Cash Flow - Standardized!R18C39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4"/>
      </tp>
      <tp>
        <v>-279</v>
        <stp/>
        <stp>##V3_BDHV12</stp>
        <stp>AMZN US Equity</stp>
        <stp>CF_CASH_FROM_OPER</stp>
        <stp>FQ1 2007</stp>
        <stp>FQ1 2007</stp>
        <stp>[FA1_j2ahgkxc.xlsx]Cash Flow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4"/>
      </tp>
      <tp>
        <v>62</v>
        <stp/>
        <stp>##V3_BDHV12</stp>
        <stp>AMZN US Equity</stp>
        <stp>IS_DEPR_EXP</stp>
        <stp>FQ1 2007</stp>
        <stp>FQ1 2007</stp>
        <stp>[FA1_j2ahgkxc.xlsx]Income - Adjusted!R57C35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7" s="2"/>
      </tp>
      <tp>
        <v>21.280999999999999</v>
        <stp/>
        <stp>##V3_BDHV12</stp>
        <stp>AMZN US Equity</stp>
        <stp>IS_DEPR_EXP</stp>
        <stp>FQ4 2000</stp>
        <stp>FQ4 2000</stp>
        <stp>[FA1_j2ahgkxc.xlsx]Income - Adjusted!R57C10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7" s="2"/>
      </tp>
      <tp>
        <v>19.082999999999998</v>
        <stp/>
        <stp>##V3_BDHV12</stp>
        <stp>AMZN US Equity</stp>
        <stp>IS_DEPR_EXP</stp>
        <stp>FQ3 2004</stp>
        <stp>FQ3 2004</stp>
        <stp>[FA1_j2ahgkxc.xlsx]Income - Adjusted!R57C25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7" s="2"/>
      </tp>
      <tp>
        <v>18.466999999999999</v>
        <stp/>
        <stp>##V3_BDHV12</stp>
        <stp>AMZN US Equity</stp>
        <stp>IS_DEPR_EXP</stp>
        <stp>FQ4 2003</stp>
        <stp>FQ4 2003</stp>
        <stp>[FA1_j2ahgkxc.xlsx]Income - Adjusted!R57C22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7" s="2"/>
      </tp>
      <tp>
        <v>38.107999999999997</v>
        <stp/>
        <stp>##V3_BDHV12</stp>
        <stp>AMZN US Equity</stp>
        <stp>CF_CASH_FROM_OPER</stp>
        <stp>FQ3 2002</stp>
        <stp>FQ3 2002</stp>
        <stp>[FA1_j2ahgkxc.xlsx]Cash Flow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4"/>
      </tp>
      <tp>
        <v>-303</v>
        <stp/>
        <stp>##V3_BDHV12</stp>
        <stp>AMZN US Equity</stp>
        <stp>CF_CASH_FROM_OPER</stp>
        <stp>FQ1 2006</stp>
        <stp>FQ1 2006</stp>
        <stp>[FA1_j2ahgkxc.xlsx]Cash Flow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4"/>
      </tp>
      <tp>
        <v>26</v>
        <stp/>
        <stp>##V3_BDHV12</stp>
        <stp>AMZN US Equity</stp>
        <stp>IS_DEPR_EXP</stp>
        <stp>FQ2 2005</stp>
        <stp>FQ2 2005</stp>
        <stp>[FA1_j2ahgkxc.xlsx]Income - Adjusted!R57C28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7" s="2"/>
      </tp>
      <tp>
        <v>0</v>
        <stp/>
        <stp>##V3_BDHV12</stp>
        <stp>AMZN US Equity</stp>
        <stp>BS_ACCT_NOTE_RCV</stp>
        <stp>FQ4 2001</stp>
        <stp>FQ4 2001</stp>
        <stp>[FA1_j2ahgkxc.xlsx]Bal Sheet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3"/>
      </tp>
      <tp>
        <v>0</v>
        <stp/>
        <stp>##V3_BDHV12</stp>
        <stp>AMZN US Equity</stp>
        <stp>BS_ACCT_NOTE_RCV</stp>
        <stp>FQ4 2000</stp>
        <stp>FQ4 2000</stp>
        <stp>[FA1_j2ahgkxc.xlsx]Bal Sheet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3"/>
      </tp>
      <tp>
        <v>196</v>
        <stp/>
        <stp>##V3_BDHV12</stp>
        <stp>AMZN US Equity</stp>
        <stp>BS_DISCLOSED_INTANGIBLES</stp>
        <stp>FQ1 2007</stp>
        <stp>FQ1 2007</stp>
        <stp>[FA1_j2ahgkxc.xlsx]Bal Sheet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3"/>
      </tp>
      <tp>
        <v>111.06100000000001</v>
        <stp/>
        <stp>##V3_BDHV12</stp>
        <stp>AMZN US Equity</stp>
        <stp>BS_DISCLOSED_INTANGIBLES</stp>
        <stp>FQ3 2001</stp>
        <stp>FQ3 2001</stp>
        <stp>[FA1_j2ahgkxc.xlsx]Bal Sheet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3"/>
      </tp>
      <tp>
        <v>0</v>
        <stp/>
        <stp>##V3_BDHV12</stp>
        <stp>AMZN US Equity</stp>
        <stp>EQY_DPS</stp>
        <stp>FQ2 2002</stp>
        <stp>FQ2 2002</stp>
        <stp>[FA1_j2ahgkxc.xlsx]Income - Adjusted!R54C16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4" s="2"/>
      </tp>
      <tp>
        <v>0</v>
        <stp/>
        <stp>##V3_BDHV12</stp>
        <stp>AMZN US Equity</stp>
        <stp>EQY_DPS</stp>
        <stp>FQ2 2006</stp>
        <stp>FQ2 2006</stp>
        <stp>[FA1_j2ahgkxc.xlsx]Income - Adjusted!R54C32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4" s="2"/>
      </tp>
      <tp>
        <v>392</v>
        <stp/>
        <stp>##V3_BDHV12</stp>
        <stp>AMZN US Equity</stp>
        <stp>BS_DISCLOSED_INTANGIBLES</stp>
        <stp>FQ1 2008</stp>
        <stp>FQ1 2008</stp>
        <stp>[FA1_j2ahgkxc.xlsx]Bal Sheet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3"/>
      </tp>
      <tp>
        <v>193</v>
        <stp/>
        <stp>##V3_BDHV12</stp>
        <stp>AMZN US Equity</stp>
        <stp>BS_DISCLOSED_INTANGIBLES</stp>
        <stp>FQ1 2006</stp>
        <stp>FQ1 2006</stp>
        <stp>[FA1_j2ahgkxc.xlsx]Bal Sheet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3"/>
      </tp>
      <tp>
        <v>75.183999999999997</v>
        <stp/>
        <stp>##V3_BDHV12</stp>
        <stp>AMZN US Equity</stp>
        <stp>BS_DISCLOSED_INTANGIBLES</stp>
        <stp>FQ3 2002</stp>
        <stp>FQ3 2002</stp>
        <stp>[FA1_j2ahgkxc.xlsx]Bal Sheet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3"/>
      </tp>
      <tp>
        <v>0</v>
        <stp/>
        <stp>##V3_BDHV12</stp>
        <stp>AMZN US Equity</stp>
        <stp>BS_ACCT_NOTE_RCV</stp>
        <stp>FQ4 2002</stp>
        <stp>FQ4 2002</stp>
        <stp>[FA1_j2ahgkxc.xlsx]Bal Sheet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3"/>
      </tp>
      <tp>
        <v>424</v>
        <stp/>
        <stp>##V3_BDHV12</stp>
        <stp>AMZN US Equity</stp>
        <stp>IS_SH_FOR_DILUTED_EPS</stp>
        <stp>FQ4 2006</stp>
        <stp>FQ4 2006</stp>
        <stp>[FA1_j2ahgkxc.xlsx]Income - Adjusted!R39C34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9" s="2"/>
      </tp>
      <tp>
        <v>425.03399999999999</v>
        <stp/>
        <stp>##V3_BDHV12</stp>
        <stp>AMZN US Equity</stp>
        <stp>IS_SH_FOR_DILUTED_EPS</stp>
        <stp>FQ4 2004</stp>
        <stp>FQ4 2004</stp>
        <stp>[FA1_j2ahgkxc.xlsx]Income - Adjusted!R39C26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9" s="2"/>
      </tp>
      <tp>
        <v>422.80200000000002</v>
        <stp/>
        <stp>##V3_BDHV12</stp>
        <stp>AMZN US Equity</stp>
        <stp>IS_SH_FOR_DILUTED_EPS</stp>
        <stp>FQ3 2003</stp>
        <stp>FQ3 2003</stp>
        <stp>[FA1_j2ahgkxc.xlsx]Income - Adjusted!R39C21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9" s="2"/>
      </tp>
      <tp>
        <v>368.05200000000002</v>
        <stp/>
        <stp>##V3_BDHV12</stp>
        <stp>AMZN US Equity</stp>
        <stp>IS_SH_FOR_DILUTED_EPS</stp>
        <stp>FQ3 2001</stp>
        <stp>FQ3 2001</stp>
        <stp>[FA1_j2ahgkxc.xlsx]Income - Adjusted!R39C13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9" s="2"/>
      </tp>
      <tp>
        <v>420</v>
        <stp/>
        <stp>##V3_BDHV12</stp>
        <stp>AMZN US Equity</stp>
        <stp>IS_SH_FOR_DILUTED_EPS</stp>
        <stp>FQ1 2007</stp>
        <stp>FQ1 2007</stp>
        <stp>[FA1_j2ahgkxc.xlsx]Income - Adjusted!R39C35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9" s="2"/>
      </tp>
      <tp>
        <v>423</v>
        <stp/>
        <stp>##V3_BDHV12</stp>
        <stp>AMZN US Equity</stp>
        <stp>IS_SH_FOR_DILUTED_EPS</stp>
        <stp>FQ1 2005</stp>
        <stp>FQ1 2005</stp>
        <stp>[FA1_j2ahgkxc.xlsx]Income - Adjusted!R39C27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9" s="2"/>
      </tp>
      <tp>
        <v>-0.96</v>
        <stp/>
        <stp>##V3_BDHV12</stp>
        <stp>AMZN US Equity</stp>
        <stp>IS_EARN_BEF_XO_ITEMS_PER_SH</stp>
        <stp>FQ4 1999</stp>
        <stp>FQ4 1999</stp>
        <stp>[FA1_j2ahgkxc.xlsx]Per Share!R15C7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5" s="5"/>
      </tp>
      <tp>
        <v>0.28000000000000003</v>
        <stp/>
        <stp>##V3_BDHV12</stp>
        <stp>AMZN US Equity</stp>
        <stp>IS_BASIC_EPS_CONT_OPS</stp>
        <stp>FQ2 2008</stp>
        <stp>FQ2 2008</stp>
        <stp>[FA1_j2ahgkxc.xlsx]Income - Adjusted!R37C40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7" s="2"/>
      </tp>
      <tp>
        <v>0.94</v>
        <stp/>
        <stp>##V3_BDHV12</stp>
        <stp>AMZN US Equity</stp>
        <stp>CASH_FLOW_PER_SH</stp>
        <stp>FQ4 2001</stp>
        <stp>FQ4 2001</stp>
        <stp>[FA1_j2ahgkxc.xlsx]Per Share!R22C14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2" s="5"/>
      </tp>
      <tp>
        <v>1.5181</v>
        <stp/>
        <stp>##V3_BDHV12</stp>
        <stp>AMZN US Equity</stp>
        <stp>CASH_FLOW_PER_SH</stp>
        <stp>FQ4 2005</stp>
        <stp>FQ4 2005</stp>
        <stp>[FA1_j2ahgkxc.xlsx]Per Share!R22C30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2" s="5"/>
      </tp>
      <tp>
        <v>0.31180000000000002</v>
        <stp/>
        <stp>##V3_BDHV12</stp>
        <stp>AMZN US Equity</stp>
        <stp>CASH_FLOW_PER_SH</stp>
        <stp>FQ3 2006</stp>
        <stp>FQ3 2006</stp>
        <stp>[FA1_j2ahgkxc.xlsx]Per Share!R22C33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2" s="5"/>
      </tp>
      <tp>
        <v>0.1004</v>
        <stp/>
        <stp>##V3_BDHV12</stp>
        <stp>AMZN US Equity</stp>
        <stp>CASH_FLOW_PER_SH</stp>
        <stp>FQ3 2002</stp>
        <stp>FQ3 2002</stp>
        <stp>[FA1_j2ahgkxc.xlsx]Per Share!R22C17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2" s="5"/>
      </tp>
      <tp>
        <v>0.52</v>
        <stp/>
        <stp>##V3_BDHV12</stp>
        <stp>AMZN US Equity</stp>
        <stp>IS_EPS</stp>
        <stp>FQ4 2008</stp>
        <stp>FQ4 2008</stp>
        <stp>[FA1_j2ahgkxc.xlsx]Income - Adjusted!R35C42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35" s="2"/>
      </tp>
      <tp>
        <v>0.5</v>
        <stp/>
        <stp>##V3_BDHV12</stp>
        <stp>AMZN US Equity</stp>
        <stp>IS_EPS</stp>
        <stp>FQ4 2007</stp>
        <stp>FQ4 2007</stp>
        <stp>[FA1_j2ahgkxc.xlsx]Income - Adjusted!R35C38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35" s="2"/>
      </tp>
      <tp>
        <v>0.24</v>
        <stp/>
        <stp>##V3_BDHV12</stp>
        <stp>AMZN US Equity</stp>
        <stp>IS_EPS</stp>
        <stp>FQ4 2006</stp>
        <stp>FQ4 2006</stp>
        <stp>[FA1_j2ahgkxc.xlsx]Income - Adjusted!R35C34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35" s="2"/>
      </tp>
      <tp>
        <v>0.48</v>
        <stp/>
        <stp>##V3_BDHV12</stp>
        <stp>AMZN US Equity</stp>
        <stp>IS_EPS</stp>
        <stp>FQ4 2005</stp>
        <stp>FQ4 2005</stp>
        <stp>[FA1_j2ahgkxc.xlsx]Income - Adjusted!R35C30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35" s="2"/>
      </tp>
      <tp>
        <v>0.85</v>
        <stp/>
        <stp>##V3_BDHV12</stp>
        <stp>AMZN US Equity</stp>
        <stp>IS_EPS</stp>
        <stp>FQ4 2004</stp>
        <stp>FQ4 2004</stp>
        <stp>[FA1_j2ahgkxc.xlsx]Income - Adjusted!R35C26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35" s="2"/>
      </tp>
      <tp>
        <v>0.01</v>
        <stp/>
        <stp>##V3_BDHV12</stp>
        <stp>AMZN US Equity</stp>
        <stp>IS_EPS</stp>
        <stp>FQ4 2001</stp>
        <stp>FQ4 2001</stp>
        <stp>[FA1_j2ahgkxc.xlsx]Income - Adjusted!R35C14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35" s="2"/>
      </tp>
      <tp>
        <v>0.18</v>
        <stp/>
        <stp>##V3_BDHV12</stp>
        <stp>AMZN US Equity</stp>
        <stp>IS_EPS</stp>
        <stp>FQ4 2003</stp>
        <stp>FQ4 2003</stp>
        <stp>[FA1_j2ahgkxc.xlsx]Income - Adjusted!R35C22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35" s="2"/>
      </tp>
      <tp>
        <v>-1.53</v>
        <stp/>
        <stp>##V3_BDHV12</stp>
        <stp>AMZN US Equity</stp>
        <stp>IS_EPS</stp>
        <stp>FQ4 2000</stp>
        <stp>FQ4 2000</stp>
        <stp>[FA1_j2ahgkxc.xlsx]Income - Adjusted!R35C10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35" s="2"/>
      </tp>
      <tp>
        <v>0.01</v>
        <stp/>
        <stp>##V3_BDHV12</stp>
        <stp>AMZN US Equity</stp>
        <stp>IS_EPS</stp>
        <stp>FQ4 2002</stp>
        <stp>FQ4 2002</stp>
        <stp>[FA1_j2ahgkxc.xlsx]Income - Adjusted!R35C18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35" s="2"/>
      </tp>
      <tp>
        <v>0.38</v>
        <stp/>
        <stp>##V3_BDHV12</stp>
        <stp>AMZN US Equity</stp>
        <stp>IS_EPS</stp>
        <stp>FQ2 2008</stp>
        <stp>FQ2 2008</stp>
        <stp>[FA1_j2ahgkxc.xlsx]Income - Adjusted!R35C40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35" s="2"/>
      </tp>
      <tp>
        <v>-0.25</v>
        <stp/>
        <stp>##V3_BDHV12</stp>
        <stp>AMZN US Equity</stp>
        <stp>IS_EPS</stp>
        <stp>FQ2 2002</stp>
        <stp>FQ2 2002</stp>
        <stp>[FA1_j2ahgkxc.xlsx]Income - Adjusted!R35C16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35" s="2"/>
      </tp>
      <tp>
        <v>-0.47</v>
        <stp/>
        <stp>##V3_BDHV12</stp>
        <stp>AMZN US Equity</stp>
        <stp>IS_EPS</stp>
        <stp>FQ2 2001</stp>
        <stp>FQ2 2001</stp>
        <stp>[FA1_j2ahgkxc.xlsx]Income - Adjusted!R35C12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35" s="2"/>
      </tp>
      <tp>
        <v>-0.11</v>
        <stp/>
        <stp>##V3_BDHV12</stp>
        <stp>AMZN US Equity</stp>
        <stp>IS_EPS</stp>
        <stp>FQ2 2003</stp>
        <stp>FQ2 2003</stp>
        <stp>[FA1_j2ahgkxc.xlsx]Income - Adjusted!R35C20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35" s="2"/>
      </tp>
      <tp>
        <v>0.19</v>
        <stp/>
        <stp>##V3_BDHV12</stp>
        <stp>AMZN US Equity</stp>
        <stp>IS_EPS</stp>
        <stp>FQ2 2004</stp>
        <stp>FQ2 2004</stp>
        <stp>[FA1_j2ahgkxc.xlsx]Income - Adjusted!R35C24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35" s="2"/>
      </tp>
      <tp>
        <v>0.13</v>
        <stp/>
        <stp>##V3_BDHV12</stp>
        <stp>AMZN US Equity</stp>
        <stp>IS_EPS</stp>
        <stp>FQ2 2005</stp>
        <stp>FQ2 2005</stp>
        <stp>[FA1_j2ahgkxc.xlsx]Income - Adjusted!R35C28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35" s="2"/>
      </tp>
      <tp>
        <v>0.19</v>
        <stp/>
        <stp>##V3_BDHV12</stp>
        <stp>AMZN US Equity</stp>
        <stp>IS_EPS</stp>
        <stp>FQ2 2007</stp>
        <stp>FQ2 2007</stp>
        <stp>[FA1_j2ahgkxc.xlsx]Income - Adjusted!R35C36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35" s="2"/>
      </tp>
      <tp>
        <v>0.05</v>
        <stp/>
        <stp>##V3_BDHV12</stp>
        <stp>AMZN US Equity</stp>
        <stp>IS_EPS</stp>
        <stp>FQ2 2006</stp>
        <stp>FQ2 2006</stp>
        <stp>[FA1_j2ahgkxc.xlsx]Income - Adjusted!R35C32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35" s="2"/>
      </tp>
      <tp>
        <v>62.131799999999998</v>
        <stp/>
        <stp>##V3_BDHV12</stp>
        <stp>AMZN US Equity</stp>
        <stp>PX_TO_FREE_CASH_FLOW</stp>
        <stp>FQ4 2003</stp>
        <stp>FQ4 2003</stp>
        <stp>[FA1_j2ahgkxc.xlsx]Cash Flow - Standardized!R53C22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3" s="4"/>
      </tp>
      <tp>
        <v>0.28000000000000003</v>
        <stp/>
        <stp>##V3_BDHV12</stp>
        <stp>AMZN US Equity</stp>
        <stp>IS_EPS</stp>
        <stp>FQ3 2008</stp>
        <stp>FQ3 2008</stp>
        <stp>[FA1_j2ahgkxc.xlsx]Income - Adjusted!R35C41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35" s="2"/>
      </tp>
      <tp>
        <v>-0.09</v>
        <stp/>
        <stp>##V3_BDHV12</stp>
        <stp>AMZN US Equity</stp>
        <stp>IS_EPS</stp>
        <stp>FQ3 2002</stp>
        <stp>FQ3 2002</stp>
        <stp>[FA1_j2ahgkxc.xlsx]Income - Adjusted!R35C17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35" s="2"/>
      </tp>
      <tp>
        <v>0.04</v>
        <stp/>
        <stp>##V3_BDHV12</stp>
        <stp>AMZN US Equity</stp>
        <stp>IS_EPS</stp>
        <stp>FQ3 2003</stp>
        <stp>FQ3 2003</stp>
        <stp>[FA1_j2ahgkxc.xlsx]Income - Adjusted!R35C21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35" s="2"/>
      </tp>
      <tp>
        <v>-0.46</v>
        <stp/>
        <stp>##V3_BDHV12</stp>
        <stp>AMZN US Equity</stp>
        <stp>IS_EPS</stp>
        <stp>FQ3 2001</stp>
        <stp>FQ3 2001</stp>
        <stp>[FA1_j2ahgkxc.xlsx]Income - Adjusted!R35C13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35" s="2"/>
      </tp>
      <tp>
        <v>7.0000000000000007E-2</v>
        <stp/>
        <stp>##V3_BDHV12</stp>
        <stp>AMZN US Equity</stp>
        <stp>IS_EPS</stp>
        <stp>FQ3 2005</stp>
        <stp>FQ3 2005</stp>
        <stp>[FA1_j2ahgkxc.xlsx]Income - Adjusted!R35C29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35" s="2"/>
      </tp>
      <tp>
        <v>0.13</v>
        <stp/>
        <stp>##V3_BDHV12</stp>
        <stp>AMZN US Equity</stp>
        <stp>IS_EPS</stp>
        <stp>FQ3 2004</stp>
        <stp>FQ3 2004</stp>
        <stp>[FA1_j2ahgkxc.xlsx]Income - Adjusted!R35C25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35" s="2"/>
      </tp>
      <tp>
        <v>0.05</v>
        <stp/>
        <stp>##V3_BDHV12</stp>
        <stp>AMZN US Equity</stp>
        <stp>IS_EPS</stp>
        <stp>FQ3 2006</stp>
        <stp>FQ3 2006</stp>
        <stp>[FA1_j2ahgkxc.xlsx]Income - Adjusted!R35C33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35" s="2"/>
      </tp>
      <tp>
        <v>0.19</v>
        <stp/>
        <stp>##V3_BDHV12</stp>
        <stp>AMZN US Equity</stp>
        <stp>IS_EPS</stp>
        <stp>FQ3 2007</stp>
        <stp>FQ3 2007</stp>
        <stp>[FA1_j2ahgkxc.xlsx]Income - Adjusted!R35C37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35" s="2"/>
      </tp>
      <tp t="s">
        <v>—</v>
        <stp/>
        <stp>##V3_BDHV12</stp>
        <stp>AMZN US Equity</stp>
        <stp>IS_SG&amp;A_EXPENSE</stp>
        <stp>FQ3 2000</stp>
        <stp>FQ3 2000</stp>
        <stp>[FA1_j2ahgkxc.xlsx]Income - Adjusted!R10C9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0.34</v>
        <stp/>
        <stp>##V3_BDHV12</stp>
        <stp>AMZN US Equity</stp>
        <stp>IS_EPS</stp>
        <stp>FQ1 2008</stp>
        <stp>FQ1 2008</stp>
        <stp>[FA1_j2ahgkxc.xlsx]Income - Adjusted!R35C39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35" s="2"/>
      </tp>
      <tp>
        <v>-0.66</v>
        <stp/>
        <stp>##V3_BDHV12</stp>
        <stp>AMZN US Equity</stp>
        <stp>IS_EPS</stp>
        <stp>FQ1 2001</stp>
        <stp>FQ1 2001</stp>
        <stp>[FA1_j2ahgkxc.xlsx]Income - Adjusted!R35C11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35" s="2"/>
      </tp>
      <tp>
        <v>-0.06</v>
        <stp/>
        <stp>##V3_BDHV12</stp>
        <stp>AMZN US Equity</stp>
        <stp>IS_EPS</stp>
        <stp>FQ1 2002</stp>
        <stp>FQ1 2002</stp>
        <stp>[FA1_j2ahgkxc.xlsx]Income - Adjusted!R35C15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35" s="2"/>
      </tp>
      <tp>
        <v>-0.03</v>
        <stp/>
        <stp>##V3_BDHV12</stp>
        <stp>AMZN US Equity</stp>
        <stp>IS_EPS</stp>
        <stp>FQ1 2003</stp>
        <stp>FQ1 2003</stp>
        <stp>[FA1_j2ahgkxc.xlsx]Income - Adjusted!R35C19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35" s="2"/>
      </tp>
      <tp>
        <v>0.12</v>
        <stp/>
        <stp>##V3_BDHV12</stp>
        <stp>AMZN US Equity</stp>
        <stp>IS_EPS</stp>
        <stp>FQ1 2006</stp>
        <stp>FQ1 2006</stp>
        <stp>[FA1_j2ahgkxc.xlsx]Income - Adjusted!R35C31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35" s="2"/>
      </tp>
      <tp>
        <v>0.27</v>
        <stp/>
        <stp>##V3_BDHV12</stp>
        <stp>AMZN US Equity</stp>
        <stp>IS_EPS</stp>
        <stp>FQ1 2007</stp>
        <stp>FQ1 2007</stp>
        <stp>[FA1_j2ahgkxc.xlsx]Income - Adjusted!R35C35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35" s="2"/>
      </tp>
      <tp>
        <v>0.19</v>
        <stp/>
        <stp>##V3_BDHV12</stp>
        <stp>AMZN US Equity</stp>
        <stp>IS_EPS</stp>
        <stp>FQ1 2005</stp>
        <stp>FQ1 2005</stp>
        <stp>[FA1_j2ahgkxc.xlsx]Income - Adjusted!R35C27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35" s="2"/>
      </tp>
      <tp>
        <v>0.28000000000000003</v>
        <stp/>
        <stp>##V3_BDHV12</stp>
        <stp>AMZN US Equity</stp>
        <stp>IS_EPS</stp>
        <stp>FQ1 2004</stp>
        <stp>FQ1 2004</stp>
        <stp>[FA1_j2ahgkxc.xlsx]Income - Adjusted!R35C23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35" s="2"/>
      </tp>
      <tp>
        <v>0</v>
        <stp/>
        <stp>##V3_BDHV12</stp>
        <stp>AMZN US Equity</stp>
        <stp>CF_NET_CASH_PAID_FOR_AQUIS</stp>
        <stp>FQ2 2003</stp>
        <stp>FQ2 2003</stp>
        <stp>[FA1_j2ahgkxc.xlsx]Cash Flow - Standardized!R47C20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4"/>
      </tp>
      <tp>
        <v>0</v>
        <stp/>
        <stp>##V3_BDHV12</stp>
        <stp>AMZN US Equity</stp>
        <stp>CF_NET_CASH_PAID_FOR_AQUIS</stp>
        <stp>FQ1 2001</stp>
        <stp>FQ1 2001</stp>
        <stp>[FA1_j2ahgkxc.xlsx]Cash Flow - Standardized!R47C11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4"/>
      </tp>
      <tp>
        <v>675.351</v>
        <stp/>
        <stp>##V3_BDHV12</stp>
        <stp>AMZN US Equity</stp>
        <stp>PROC_FR_REPAYMNTS_BOR_DETAILED</stp>
        <stp>FQ1 2000</stp>
        <stp>FQ1 2000</stp>
        <stp>[FA1_j2ahgkxc.xlsx]Cash Flow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4"/>
      </tp>
      <tp>
        <v>24</v>
        <stp/>
        <stp>##V3_BDHV12</stp>
        <stp>AMZN US Equity</stp>
        <stp>CF_NET_CASH_PAID_FOR_AQUIS</stp>
        <stp>FQ3 2007</stp>
        <stp>FQ3 2007</stp>
        <stp>[FA1_j2ahgkxc.xlsx]Cash Flow - Standardized!R47C37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4"/>
      </tp>
      <tp>
        <v>0</v>
        <stp/>
        <stp>##V3_BDHV12</stp>
        <stp>AMZN US Equity</stp>
        <stp>CF_NET_CASH_PAID_FOR_AQUIS</stp>
        <stp>FQ2 2004</stp>
        <stp>FQ2 2004</stp>
        <stp>[FA1_j2ahgkxc.xlsx]Cash Flow - Standardized!R47C24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4"/>
      </tp>
      <tp>
        <v>2</v>
        <stp/>
        <stp>##V3_BDHV12</stp>
        <stp>AMZN US Equity</stp>
        <stp>CF_NET_CASH_PAID_FOR_AQUIS</stp>
        <stp>FQ3 2006</stp>
        <stp>FQ3 2006</stp>
        <stp>[FA1_j2ahgkxc.xlsx]Cash Flow - Standardized!R47C33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4"/>
      </tp>
      <tp>
        <v>0</v>
        <stp/>
        <stp>##V3_BDHV12</stp>
        <stp>AMZN US Equity</stp>
        <stp>CF_NET_CASH_PAID_FOR_AQUIS</stp>
        <stp>FQ1 2002</stp>
        <stp>FQ1 2002</stp>
        <stp>[FA1_j2ahgkxc.xlsx]Cash Flow - Standardized!R47C15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4"/>
      </tp>
      <tp>
        <v>591.11680000000001</v>
        <stp/>
        <stp>##V3_BDHV12</stp>
        <stp>AMZN US Equity</stp>
        <stp>CF_FREE_CASH_FLOW_FIRM</stp>
        <stp>FQ4 2005</stp>
        <stp>FQ4 2005</stp>
        <stp>[FA1_j2ahgkxc.xlsx]Cash Flow - Standardized!R50C30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50" s="4"/>
      </tp>
      <tp>
        <v>0</v>
        <stp/>
        <stp>##V3_BDHV12</stp>
        <stp>AMZN US Equity</stp>
        <stp>CF_NET_CASH_PAID_FOR_AQUIS</stp>
        <stp>FQ1 2003</stp>
        <stp>FQ1 2003</stp>
        <stp>[FA1_j2ahgkxc.xlsx]Cash Flow - Standardized!R47C19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4"/>
      </tp>
      <tp>
        <v>-3.5720000000000001</v>
        <stp/>
        <stp>##V3_BDHV12</stp>
        <stp>AMZN US Equity</stp>
        <stp>PROC_FR_REPAYMNTS_BOR_DETAILED</stp>
        <stp>FQ2 2000</stp>
        <stp>FQ2 2000</stp>
        <stp>[FA1_j2ahgkxc.xlsx]Cash Flow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4"/>
      </tp>
      <tp>
        <v>-3.2770000000000001</v>
        <stp/>
        <stp>##V3_BDHV12</stp>
        <stp>AMZN US Equity</stp>
        <stp>PROC_FR_REPAYMNTS_BOR_DETAILED</stp>
        <stp>FQ3 2000</stp>
        <stp>FQ3 2000</stp>
        <stp>[FA1_j2ahgkxc.xlsx]Cash Flow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4"/>
      </tp>
      <tp t="s">
        <v>—</v>
        <stp/>
        <stp>##V3_BDHV12</stp>
        <stp>AMZN US Equity</stp>
        <stp>CF_FREE_CASH_FLOW_FIRM</stp>
        <stp>FQ3 2001</stp>
        <stp>FQ3 2001</stp>
        <stp>[FA1_j2ahgkxc.xlsx]Cash Flow - Standardized!R50C13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50" s="4"/>
      </tp>
      <tp t="s">
        <v>—</v>
        <stp/>
        <stp>##V3_BDHV12</stp>
        <stp>AMZN US Equity</stp>
        <stp>CF_FREE_CASH_FLOW_FIRM</stp>
        <stp>FQ2 2001</stp>
        <stp>FQ2 2001</stp>
        <stp>[FA1_j2ahgkxc.xlsx]Cash Flow - Standardized!R50C12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50" s="4"/>
      </tp>
      <tp t="s">
        <v>—</v>
        <stp/>
        <stp>##V3_BDHV12</stp>
        <stp>AMZN US Equity</stp>
        <stp>CF_FREE_CASH_FLOW_FIRM</stp>
        <stp>FQ1 2001</stp>
        <stp>FQ1 2001</stp>
        <stp>[FA1_j2ahgkxc.xlsx]Cash Flow - Standardized!R50C11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50" s="4"/>
      </tp>
      <tp>
        <v>376.87599999999998</v>
        <stp/>
        <stp>##V3_BDHV12</stp>
        <stp>AMZN US Equity</stp>
        <stp>CF_FREE_CASH_FLOW_FIRM</stp>
        <stp>FQ4 2001</stp>
        <stp>FQ4 2001</stp>
        <stp>[FA1_j2ahgkxc.xlsx]Cash Flow - Standardized!R50C14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50" s="4"/>
      </tp>
      <tp>
        <v>5</v>
        <stp/>
        <stp>##V3_BDHV12</stp>
        <stp>AMZN US Equity</stp>
        <stp>CF_NET_CASH_PAID_FOR_AQUIS</stp>
        <stp>FQ2 2005</stp>
        <stp>FQ2 2005</stp>
        <stp>[FA1_j2ahgkxc.xlsx]Cash Flow - Standardized!R47C28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4"/>
      </tp>
      <tp t="s">
        <v>—</v>
        <stp/>
        <stp>##V3_BDHV12</stp>
        <stp>AMZN US Equity</stp>
        <stp>CF_FREE_CASH_FLOW_FIRM</stp>
        <stp>FQ2 2003</stp>
        <stp>FQ2 2003</stp>
        <stp>[FA1_j2ahgkxc.xlsx]Cash Flow - Standardized!R50C20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50" s="4"/>
      </tp>
      <tp>
        <v>51.427</v>
        <stp/>
        <stp>##V3_BDHV12</stp>
        <stp>AMZN US Equity</stp>
        <stp>CF_FREE_CASH_FLOW_FIRM</stp>
        <stp>FQ3 2003</stp>
        <stp>FQ3 2003</stp>
        <stp>[FA1_j2ahgkxc.xlsx]Cash Flow - Standardized!R50C21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50" s="4"/>
      </tp>
      <tp>
        <v>87</v>
        <stp/>
        <stp>##V3_BDHV12</stp>
        <stp>AMZN US Equity</stp>
        <stp>CF_NET_CASH_PAID_FOR_AQUIS</stp>
        <stp>FQ4 2008</stp>
        <stp>FQ4 2008</stp>
        <stp>[FA1_j2ahgkxc.xlsx]Cash Flow - Standardized!R47C42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4"/>
      </tp>
      <tp>
        <v>230</v>
        <stp/>
        <stp>##V3_BDHV12</stp>
        <stp>AMZN US Equity</stp>
        <stp>EBITDA</stp>
        <stp>FQ3 2008</stp>
        <stp>FQ3 2008</stp>
        <stp>[FA1_j2ahgkxc.xlsx]Cash Flow - Standardized!R45C41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45" s="4"/>
      </tp>
      <tp>
        <v>287</v>
        <stp/>
        <stp>##V3_BDHV12</stp>
        <stp>AMZN US Equity</stp>
        <stp>EBITDA</stp>
        <stp>FQ2 2008</stp>
        <stp>FQ2 2008</stp>
        <stp>[FA1_j2ahgkxc.xlsx]Cash Flow - Standardized!R45C40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45" s="4"/>
      </tp>
      <tp t="s">
        <v>—</v>
        <stp/>
        <stp>##V3_BDHV12</stp>
        <stp>AMZN US Equity</stp>
        <stp>IS_CAP_INT_EXP</stp>
        <stp>FQ2 1999</stp>
        <stp>FQ2 1999</stp>
        <stp>[FA1_j2ahgkxc.xlsx]Income - Adjusted!R56C5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6" s="2"/>
      </tp>
      <tp>
        <v>-2.7082999999999999</v>
        <stp/>
        <stp>##V3_BDHV12</stp>
        <stp>AMZN US Equity</stp>
        <stp>BOOK_VAL_PER_SH</stp>
        <stp>FQ4 2000</stp>
        <stp>FQ4 2000</stp>
        <stp>[FA1_j2ahgkxc.xlsx]Per Share!R26C10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6" s="5"/>
      </tp>
      <tp>
        <v>-3.4929000000000001</v>
        <stp/>
        <stp>##V3_BDHV12</stp>
        <stp>AMZN US Equity</stp>
        <stp>BOOK_VAL_PER_SH</stp>
        <stp>FQ1 2001</stp>
        <stp>FQ1 2001</stp>
        <stp>[FA1_j2ahgkxc.xlsx]Per Share!R26C11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6" s="5"/>
      </tp>
      <tp>
        <v>-1.9445000000000001</v>
        <stp/>
        <stp>##V3_BDHV12</stp>
        <stp>AMZN US Equity</stp>
        <stp>BOOK_VAL_PER_SH</stp>
        <stp>FQ2 2004</stp>
        <stp>FQ2 2004</stp>
        <stp>[FA1_j2ahgkxc.xlsx]Per Share!R26C24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6" s="5"/>
      </tp>
      <tp>
        <v>1.8336999999999999</v>
        <stp/>
        <stp>##V3_BDHV12</stp>
        <stp>AMZN US Equity</stp>
        <stp>BOOK_VAL_PER_SH</stp>
        <stp>FQ3 2007</stp>
        <stp>FQ3 2007</stp>
        <stp>[FA1_j2ahgkxc.xlsx]Per Share!R26C37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6" s="5"/>
      </tp>
      <tp t="s">
        <v>—</v>
        <stp/>
        <stp>##V3_BDHV12</stp>
        <stp>AMZN US Equity</stp>
        <stp>CF_TAX_BENEFIT_FRM_STOCK_OPTIONS</stp>
        <stp>FQ2 2005</stp>
        <stp>FQ2 2005</stp>
        <stp>[FA1_j2ahgkxc.xlsx]Cash Flow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4"/>
      </tp>
      <tp>
        <v>-1</v>
        <stp/>
        <stp>##V3_BDHV12</stp>
        <stp>AMZN US Equity</stp>
        <stp>CF_TAX_BENEFIT_FRM_STOCK_OPTIONS</stp>
        <stp>FQ4 2008</stp>
        <stp>FQ4 2008</stp>
        <stp>[FA1_j2ahgkxc.xlsx]Cash Flow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4"/>
      </tp>
      <tp t="s">
        <v>—</v>
        <stp/>
        <stp>##V3_BDHV12</stp>
        <stp>AMZN US Equity</stp>
        <stp>CF_TAX_BENEFIT_FRM_STOCK_OPTIONS</stp>
        <stp>FQ1 2003</stp>
        <stp>FQ1 2003</stp>
        <stp>[FA1_j2ahgkxc.xlsx]Cash Flow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4"/>
      </tp>
      <tp>
        <v>0</v>
        <stp/>
        <stp>##V3_BDHV12</stp>
        <stp>AMZN US Equity</stp>
        <stp>IS_TOT_CASH_COM_DVD</stp>
        <stp>FQ2 2008</stp>
        <stp>FQ2 2008</stp>
        <stp>[FA1_j2ahgkxc.xlsx]Income - Adjusted!R55C40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2"/>
      </tp>
      <tp>
        <v>9</v>
        <stp/>
        <stp>##V3_BDHV12</stp>
        <stp>AMZN US Equity</stp>
        <stp>CF_TAX_BENEFIT_FRM_STOCK_OPTIONS</stp>
        <stp>FQ3 2006</stp>
        <stp>FQ3 2006</stp>
        <stp>[FA1_j2ahgkxc.xlsx]Cash Flow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4"/>
      </tp>
      <tp t="s">
        <v>—</v>
        <stp/>
        <stp>##V3_BDHV12</stp>
        <stp>AMZN US Equity</stp>
        <stp>CF_TAX_BENEFIT_FRM_STOCK_OPTIONS</stp>
        <stp>FQ1 2002</stp>
        <stp>FQ1 2002</stp>
        <stp>[FA1_j2ahgkxc.xlsx]Cash Flow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4"/>
      </tp>
      <tp t="s">
        <v>—</v>
        <stp/>
        <stp>##V3_BDHV12</stp>
        <stp>AMZN US Equity</stp>
        <stp>CF_TAX_BENEFIT_FRM_STOCK_OPTIONS</stp>
        <stp>FQ2 2003</stp>
        <stp>FQ2 2003</stp>
        <stp>[FA1_j2ahgkxc.xlsx]Cash Flow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4"/>
      </tp>
      <tp t="s">
        <v>—</v>
        <stp/>
        <stp>##V3_BDHV12</stp>
        <stp>AMZN US Equity</stp>
        <stp>CF_TAX_BENEFIT_FRM_STOCK_OPTIONS</stp>
        <stp>FQ1 2001</stp>
        <stp>FQ1 2001</stp>
        <stp>[FA1_j2ahgkxc.xlsx]Cash Flow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4"/>
      </tp>
      <tp>
        <v>34</v>
        <stp/>
        <stp>##V3_BDHV12</stp>
        <stp>AMZN US Equity</stp>
        <stp>CF_TAX_BENEFIT_FRM_STOCK_OPTIONS</stp>
        <stp>FQ3 2007</stp>
        <stp>FQ3 2007</stp>
        <stp>[FA1_j2ahgkxc.xlsx]Cash Flow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4"/>
      </tp>
      <tp t="s">
        <v>—</v>
        <stp/>
        <stp>##V3_BDHV12</stp>
        <stp>AMZN US Equity</stp>
        <stp>CF_TAX_BENEFIT_FRM_STOCK_OPTIONS</stp>
        <stp>FQ2 2004</stp>
        <stp>FQ2 2004</stp>
        <stp>[FA1_j2ahgkxc.xlsx]Cash Flow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4"/>
      </tp>
      <tp>
        <v>0</v>
        <stp/>
        <stp>##V3_BDHV12</stp>
        <stp>AMZN US Equity</stp>
        <stp>IS_TOT_CASH_PFD_DVD</stp>
        <stp>FQ2 2008</stp>
        <stp>FQ2 2008</stp>
        <stp>[FA1_j2ahgkxc.xlsx]Income - Adjusted!R27C40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2"/>
      </tp>
      <tp>
        <v>33</v>
        <stp/>
        <stp>##V3_BDHV12</stp>
        <stp>AMZN US Equity</stp>
        <stp>CF_INCR_CAP_STOCK</stp>
        <stp>FQ1 2007</stp>
        <stp>FQ1 2007</stp>
        <stp>[FA1_j2ahgkxc.xlsx]Cash Flow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4"/>
      </tp>
      <tp>
        <v>100.932</v>
        <stp/>
        <stp>##V3_BDHV12</stp>
        <stp>AMZN US Equity</stp>
        <stp>CF_INCR_CAP_STOCK</stp>
        <stp>FQ3 2001</stp>
        <stp>FQ3 2001</stp>
        <stp>[FA1_j2ahgkxc.xlsx]Cash Flow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4"/>
      </tp>
      <tp>
        <v>66</v>
        <stp/>
        <stp>##V3_BDHV12</stp>
        <stp>AMZN US Equity</stp>
        <stp>CF_INCR_CAP_STOCK</stp>
        <stp>FQ1 2008</stp>
        <stp>FQ1 2008</stp>
        <stp>[FA1_j2ahgkxc.xlsx]Cash Flow - Standardized!R34C39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4"/>
      </tp>
      <tp>
        <v>14</v>
        <stp/>
        <stp>##V3_BDHV12</stp>
        <stp>AMZN US Equity</stp>
        <stp>CF_INCR_CAP_STOCK</stp>
        <stp>FQ1 2006</stp>
        <stp>FQ1 2006</stp>
        <stp>[FA1_j2ahgkxc.xlsx]Cash Flow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4"/>
      </tp>
      <tp>
        <v>6.0380000000000003</v>
        <stp/>
        <stp>##V3_BDHV12</stp>
        <stp>AMZN US Equity</stp>
        <stp>CF_INCR_CAP_STOCK</stp>
        <stp>FQ3 2002</stp>
        <stp>FQ3 2002</stp>
        <stp>[FA1_j2ahgkxc.xlsx]Cash Flow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4"/>
      </tp>
      <tp>
        <v>74.39</v>
        <stp/>
        <stp>##V3_BDHV12</stp>
        <stp>AMZN US Equity</stp>
        <stp>CFF_ACTIVITIES_DETAILED</stp>
        <stp>FQ4 2002</stp>
        <stp>FQ4 2002</stp>
        <stp>[FA1_j2ahgkxc.xlsx]Cash Flow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4"/>
      </tp>
      <tp t="s">
        <v>—</v>
        <stp/>
        <stp>##V3_BDHV12</stp>
        <stp>AMZN US Equity</stp>
        <stp>IS_SG&amp;A_EXPENSE</stp>
        <stp>FQ4 2004</stp>
        <stp>FQ4 2004</stp>
        <stp>[FA1_j2ahgkxc.xlsx]Income - Adjusted!R10C26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 t="s">
        <v>—</v>
        <stp/>
        <stp>##V3_BDHV12</stp>
        <stp>AMZN US Equity</stp>
        <stp>IS_SG&amp;A_EXPENSE</stp>
        <stp>FQ4 2006</stp>
        <stp>FQ4 2006</stp>
        <stp>[FA1_j2ahgkxc.xlsx]Income - Adjusted!R10C34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 t="s">
        <v>—</v>
        <stp/>
        <stp>##V3_BDHV12</stp>
        <stp>AMZN US Equity</stp>
        <stp>IS_SG&amp;A_EXPENSE</stp>
        <stp>FQ1 2005</stp>
        <stp>FQ1 2005</stp>
        <stp>[FA1_j2ahgkxc.xlsx]Income - Adjusted!R10C27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 t="s">
        <v>—</v>
        <stp/>
        <stp>##V3_BDHV12</stp>
        <stp>AMZN US Equity</stp>
        <stp>IS_SG&amp;A_EXPENSE</stp>
        <stp>FQ1 2007</stp>
        <stp>FQ1 2007</stp>
        <stp>[FA1_j2ahgkxc.xlsx]Income - Adjusted!R10C35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 t="s">
        <v>—</v>
        <stp/>
        <stp>##V3_BDHV12</stp>
        <stp>AMZN US Equity</stp>
        <stp>IS_SG&amp;A_EXPENSE</stp>
        <stp>FQ3 2003</stp>
        <stp>FQ3 2003</stp>
        <stp>[FA1_j2ahgkxc.xlsx]Income - Adjusted!R10C21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 t="s">
        <v>—</v>
        <stp/>
        <stp>##V3_BDHV12</stp>
        <stp>AMZN US Equity</stp>
        <stp>IS_SG&amp;A_EXPENSE</stp>
        <stp>FQ3 2001</stp>
        <stp>FQ3 2001</stp>
        <stp>[FA1_j2ahgkxc.xlsx]Income - Adjusted!R10C13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14.353999999999999</v>
        <stp/>
        <stp>##V3_BDHV12</stp>
        <stp>AMZN US Equity</stp>
        <stp>CFF_ACTIVITIES_DETAILED</stp>
        <stp>FQ4 2000</stp>
        <stp>FQ4 2000</stp>
        <stp>[FA1_j2ahgkxc.xlsx]Cash Flow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4"/>
      </tp>
      <tp>
        <v>-8.5150000000000006</v>
        <stp/>
        <stp>##V3_BDHV12</stp>
        <stp>AMZN US Equity</stp>
        <stp>CFF_ACTIVITIES_DETAILED</stp>
        <stp>FQ4 2001</stp>
        <stp>FQ4 2001</stp>
        <stp>[FA1_j2ahgkxc.xlsx]Cash Flow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4"/>
      </tp>
      <tp>
        <v>411</v>
        <stp/>
        <stp>##V3_BDHV12</stp>
        <stp>AMZN US Equity</stp>
        <stp>IS_AVG_NUM_SH_FOR_EPS</stp>
        <stp>FQ2 2005</stp>
        <stp>FQ2 2005</stp>
        <stp>[FA1_j2ahgkxc.xlsx]Income - Adjusted!R34C28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4" s="2"/>
      </tp>
      <tp>
        <v>0.48180000000000001</v>
        <stp/>
        <stp>##V3_BDHV12</stp>
        <stp>AMZN US Equity</stp>
        <stp>FREE_CASH_FLOW_PER_SH</stp>
        <stp>FQ2 2005</stp>
        <stp>FQ2 2005</stp>
        <stp>[FA1_j2ahgkxc.xlsx]Per Share!R23C28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3" s="5"/>
      </tp>
      <tp>
        <v>52</v>
        <stp/>
        <stp>##V3_BDHV12</stp>
        <stp>AMZN US Equity</stp>
        <stp>EARN_FOR_COMMON</stp>
        <stp>FQ2 2005</stp>
        <stp>FQ2 2005</stp>
        <stp>[FA1_j2ahgkxc.xlsx]Income - Adjusted!R31C28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31" s="2"/>
      </tp>
      <tp>
        <v>0.2</v>
        <stp/>
        <stp>##V3_BDHV12</stp>
        <stp>AMZN US Equity</stp>
        <stp>IS_BASIC_EPS_CONT_OPS</stp>
        <stp>FQ4 2002</stp>
        <stp>FQ4 2002</stp>
        <stp>[FA1_j2ahgkxc.xlsx]Per Share!R16C18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6" s="5"/>
      </tp>
      <tp>
        <v>0.52</v>
        <stp/>
        <stp>##V3_BDHV12</stp>
        <stp>AMZN US Equity</stp>
        <stp>IS_BASIC_EPS_CONT_OPS</stp>
        <stp>FQ4 2008</stp>
        <stp>FQ4 2008</stp>
        <stp>[FA1_j2ahgkxc.xlsx]Per Share!R16C42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6" s="5"/>
      </tp>
      <tp>
        <v>0.1</v>
        <stp/>
        <stp>##V3_BDHV12</stp>
        <stp>AMZN US Equity</stp>
        <stp>IS_BASIC_EPS_CONT_OPS</stp>
        <stp>FQ1 2003</stp>
        <stp>FQ1 2003</stp>
        <stp>[FA1_j2ahgkxc.xlsx]Per Share!R16C19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6" s="5"/>
      </tp>
      <tp>
        <v>353.95400000000001</v>
        <stp/>
        <stp>##V3_BDHV12</stp>
        <stp>AMZN US Equity</stp>
        <stp>IS_SH_FOR_DILUTED_EPS</stp>
        <stp>FQ3 2000</stp>
        <stp>FQ3 2000</stp>
        <stp>[FA1_j2ahgkxc.xlsx]Per Share!R7C9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5"/>
      </tp>
      <tp>
        <v>0</v>
        <stp/>
        <stp>##V3_BDHV12</stp>
        <stp>AMZN US Equity</stp>
        <stp>EQY_DPS</stp>
        <stp>FQ2 2003</stp>
        <stp>FQ2 2003</stp>
        <stp>[FA1_j2ahgkxc.xlsx]Per Share!R20C20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0" s="5"/>
      </tp>
      <tp>
        <v>0</v>
        <stp/>
        <stp>##V3_BDHV12</stp>
        <stp>AMZN US Equity</stp>
        <stp>EQY_DPS</stp>
        <stp>FQ2 2001</stp>
        <stp>FQ2 2001</stp>
        <stp>[FA1_j2ahgkxc.xlsx]Per Share!R20C12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0" s="5"/>
      </tp>
      <tp>
        <v>-932.71400000000006</v>
        <stp/>
        <stp>##V3_BDHV12</stp>
        <stp>AMZN US Equity</stp>
        <stp>OTHER_INS_RES_TO_SHRHLDR_EQY</stp>
        <stp>FQ4 1999</stp>
        <stp>FQ4 1999</stp>
        <stp>[FA1_j2ahgkxc.xlsx]Bal Sheet - Standardized!R51C7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1" s="3"/>
      </tp>
      <tp>
        <v>-2309.125</v>
        <stp/>
        <stp>##V3_BDHV12</stp>
        <stp>AMZN US Equity</stp>
        <stp>OTHER_INS_RES_TO_SHRHLDR_EQY</stp>
        <stp>FQ4 2000</stp>
        <stp>FQ4 2000</stp>
        <stp>[FA1_j2ahgkxc.xlsx]Bal Sheet - Standardized!R51C10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1" s="3"/>
      </tp>
      <tp t="s">
        <v>—</v>
        <stp/>
        <stp>##V3_BDHV12</stp>
        <stp>AMZN US Equity</stp>
        <stp>CF_TAX_BENEFIT_FRM_STOCK_OPTIONS</stp>
        <stp>FQ3 2005</stp>
        <stp>FQ3 2005</stp>
        <stp>[FA1_j2ahgkxc.xlsx]Cash Flow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4"/>
      </tp>
      <tp>
        <v>989.65390000000002</v>
        <stp/>
        <stp>##V3_BDHV12</stp>
        <stp>AMZN US Equity</stp>
        <stp>NET_DEBT</stp>
        <stp>FQ4 2002</stp>
        <stp>FQ4 2002</stp>
        <stp>[FA1_j2ahgkxc.xlsx]Bal Sheet - Standardized!R65C18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5" s="3"/>
      </tp>
      <tp>
        <v>0</v>
        <stp/>
        <stp>##V3_BDHV12</stp>
        <stp>AMZN US Equity</stp>
        <stp>IS_TOT_CASH_COM_DVD</stp>
        <stp>FQ3 2008</stp>
        <stp>FQ3 2008</stp>
        <stp>[FA1_j2ahgkxc.xlsx]Income - Adjusted!R55C41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2"/>
      </tp>
      <tp>
        <v>1043.5191</v>
        <stp/>
        <stp>##V3_BDHV12</stp>
        <stp>AMZN US Equity</stp>
        <stp>NET_DEBT</stp>
        <stp>FQ4 2000</stp>
        <stp>FQ4 2000</stp>
        <stp>[FA1_j2ahgkxc.xlsx]Bal Sheet - Standardized!R65C10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5" s="3"/>
      </tp>
      <tp>
        <v>21</v>
        <stp/>
        <stp>##V3_BDHV12</stp>
        <stp>AMZN US Equity</stp>
        <stp>CF_TAX_BENEFIT_FRM_STOCK_OPTIONS</stp>
        <stp>FQ2 2006</stp>
        <stp>FQ2 2006</stp>
        <stp>[FA1_j2ahgkxc.xlsx]Cash Flow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4"/>
      </tp>
      <tp t="s">
        <v>—</v>
        <stp/>
        <stp>##V3_BDHV12</stp>
        <stp>AMZN US Equity</stp>
        <stp>CF_TAX_BENEFIT_FRM_STOCK_OPTIONS</stp>
        <stp>FQ3 2003</stp>
        <stp>FQ3 2003</stp>
        <stp>[FA1_j2ahgkxc.xlsx]Cash Flow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4"/>
      </tp>
      <tp>
        <v>1174.5400999999999</v>
        <stp/>
        <stp>##V3_BDHV12</stp>
        <stp>AMZN US Equity</stp>
        <stp>NET_DEBT</stp>
        <stp>FQ4 2001</stp>
        <stp>FQ4 2001</stp>
        <stp>[FA1_j2ahgkxc.xlsx]Bal Sheet - Standardized!R65C14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5" s="3"/>
      </tp>
      <tp>
        <v>35</v>
        <stp/>
        <stp>##V3_BDHV12</stp>
        <stp>AMZN US Equity</stp>
        <stp>CF_TAX_BENEFIT_FRM_STOCK_OPTIONS</stp>
        <stp>FQ2 2007</stp>
        <stp>FQ2 2007</stp>
        <stp>[FA1_j2ahgkxc.xlsx]Cash Flow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4"/>
      </tp>
      <tp t="s">
        <v>—</v>
        <stp/>
        <stp>##V3_BDHV12</stp>
        <stp>AMZN US Equity</stp>
        <stp>CF_TAX_BENEFIT_FRM_STOCK_OPTIONS</stp>
        <stp>FQ3 2004</stp>
        <stp>FQ3 2004</stp>
        <stp>[FA1_j2ahgkxc.xlsx]Cash Flow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4"/>
      </tp>
      <tp>
        <v>0</v>
        <stp/>
        <stp>##V3_BDHV12</stp>
        <stp>AMZN US Equity</stp>
        <stp>IS_TOT_CASH_PFD_DVD</stp>
        <stp>FQ3 2008</stp>
        <stp>FQ3 2008</stp>
        <stp>[FA1_j2ahgkxc.xlsx]Income - Adjusted!R27C41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2"/>
      </tp>
      <tp>
        <v>0</v>
        <stp/>
        <stp>##V3_BDHV12</stp>
        <stp>AMZN US Equity</stp>
        <stp>IS_TOT_CASH_PFD_DVD</stp>
        <stp>FQ1 2000</stp>
        <stp>FQ1 2000</stp>
        <stp>[FA1_j2ahgkxc.xlsx]Income - Adjusted!R27C8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2"/>
      </tp>
      <tp>
        <v>9</v>
        <stp/>
        <stp>##V3_BDHV12</stp>
        <stp>AMZN US Equity</stp>
        <stp>CF_INCR_CAP_STOCK</stp>
        <stp>FQ1 2005</stp>
        <stp>FQ1 2005</stp>
        <stp>[FA1_j2ahgkxc.xlsx]Cash Flow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4"/>
      </tp>
      <tp>
        <v>7.6440000000000001</v>
        <stp/>
        <stp>##V3_BDHV12</stp>
        <stp>AMZN US Equity</stp>
        <stp>CF_INCR_CAP_STOCK</stp>
        <stp>FQ2 2001</stp>
        <stp>FQ2 2001</stp>
        <stp>[FA1_j2ahgkxc.xlsx]Cash Flow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4"/>
      </tp>
      <tp>
        <v>14.814</v>
        <stp/>
        <stp>##V3_BDHV12</stp>
        <stp>AMZN US Equity</stp>
        <stp>CF_INCR_CAP_STOCK</stp>
        <stp>FQ1 2004</stp>
        <stp>FQ1 2004</stp>
        <stp>[FA1_j2ahgkxc.xlsx]Cash Flow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4"/>
      </tp>
      <tp>
        <v>42.866</v>
        <stp/>
        <stp>##V3_BDHV12</stp>
        <stp>AMZN US Equity</stp>
        <stp>CF_INCR_CAP_STOCK</stp>
        <stp>FQ2 2002</stp>
        <stp>FQ2 2002</stp>
        <stp>[FA1_j2ahgkxc.xlsx]Cash Flow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4"/>
      </tp>
      <tp>
        <v>0</v>
        <stp/>
        <stp>##V3_BDHV12</stp>
        <stp>AMZN US Equity</stp>
        <stp>IS_TOT_CASH_PFD_DVD</stp>
        <stp>FQ1 1999</stp>
        <stp>FQ1 1999</stp>
        <stp>[FA1_j2ahgkxc.xlsx]Income - Adjusted!R27C4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2"/>
      </tp>
      <tp t="s">
        <v>—</v>
        <stp/>
        <stp>##V3_BDHV12</stp>
        <stp>AMZN US Equity</stp>
        <stp>IS_SG&amp;A_EXPENSE</stp>
        <stp>FQ2 2001</stp>
        <stp>FQ2 2001</stp>
        <stp>[FA1_j2ahgkxc.xlsx]Income - Adjusted!R10C12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 t="s">
        <v>—</v>
        <stp/>
        <stp>##V3_BDHV12</stp>
        <stp>AMZN US Equity</stp>
        <stp>IS_SG&amp;A_EXPENSE</stp>
        <stp>FQ2 2003</stp>
        <stp>FQ2 2003</stp>
        <stp>[FA1_j2ahgkxc.xlsx]Income - Adjusted!R10C20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 t="s">
        <v>—</v>
        <stp/>
        <stp>##V3_BDHV12</stp>
        <stp>AMZN US Equity</stp>
        <stp>BS_PURE_RETAINED_EARNINGS</stp>
        <stp>FQ1 2000</stp>
        <stp>FQ1 2000</stp>
        <stp>[FA1_j2ahgkxc.xlsx]Bal Sheet - Standardized!R50C8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0" s="3"/>
      </tp>
      <tp t="s">
        <v>—</v>
        <stp/>
        <stp>##V3_BDHV12</stp>
        <stp>AMZN US Equity</stp>
        <stp>BS_PURE_RETAINED_EARNINGS</stp>
        <stp>FQ3 2000</stp>
        <stp>FQ3 2000</stp>
        <stp>[FA1_j2ahgkxc.xlsx]Bal Sheet - Standardized!R50C9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0" s="3"/>
      </tp>
      <tp>
        <v>413</v>
        <stp/>
        <stp>##V3_BDHV12</stp>
        <stp>AMZN US Equity</stp>
        <stp>IS_AVG_NUM_SH_FOR_EPS</stp>
        <stp>FQ3 2005</stp>
        <stp>FQ3 2005</stp>
        <stp>[FA1_j2ahgkxc.xlsx]Income - Adjusted!R34C29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4" s="2"/>
      </tp>
      <tp>
        <v>-0.115</v>
        <stp/>
        <stp>##V3_BDHV12</stp>
        <stp>AMZN US Equity</stp>
        <stp>IS_DIL_EPS_CONT_OPS</stp>
        <stp>FQ1 1999</stp>
        <stp>FQ1 1999</stp>
        <stp>[FA1_j2ahgkxc.xlsx]Per Share!R19C4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9" s="5"/>
      </tp>
      <tp>
        <v>-0.26</v>
        <stp/>
        <stp>##V3_BDHV12</stp>
        <stp>AMZN US Equity</stp>
        <stp>IS_DIL_EPS_CONT_OPS</stp>
        <stp>FQ3 1999</stp>
        <stp>FQ3 1999</stp>
        <stp>[FA1_j2ahgkxc.xlsx]Per Share!R19C6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9" s="5"/>
      </tp>
      <tp t="s">
        <v>—</v>
        <stp/>
        <stp>##V3_BDHV12</stp>
        <stp>AMZN US Equity</stp>
        <stp>IS_NET_INTEREST_EXPENSE</stp>
        <stp>FQ3 2000</stp>
        <stp>FQ3 2000</stp>
        <stp>[FA1_j2ahgkxc.xlsx]Income - Adjusted!R13C9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>
        <v>167.279</v>
        <stp/>
        <stp>##V3_BDHV12</stp>
        <stp>AMZN US Equity</stp>
        <stp>GROSS_PROFIT</stp>
        <stp>FQ3 2000</stp>
        <stp>FQ3 2000</stp>
        <stp>[FA1_j2ahgkxc.xlsx]Income - Adjusted!R8C9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0.18640000000000001</v>
        <stp/>
        <stp>##V3_BDHV12</stp>
        <stp>AMZN US Equity</stp>
        <stp>FREE_CASH_FLOW_PER_SH</stp>
        <stp>FQ3 2005</stp>
        <stp>FQ3 2005</stp>
        <stp>[FA1_j2ahgkxc.xlsx]Per Share!R23C29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3" s="5"/>
      </tp>
      <tp t="s">
        <v>—</v>
        <stp/>
        <stp>##V3_BDHV12</stp>
        <stp>AMZN US Equity</stp>
        <stp>IS_NET_INTEREST_EXPENSE</stp>
        <stp>FQ1 2003</stp>
        <stp>FQ1 2003</stp>
        <stp>[FA1_j2ahgkxc.xlsx]Income - Adjusted!R13C19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>
        <v>-4</v>
        <stp/>
        <stp>##V3_BDHV12</stp>
        <stp>AMZN US Equity</stp>
        <stp>IS_NET_INTEREST_EXPENSE</stp>
        <stp>FQ4 2008</stp>
        <stp>FQ4 2008</stp>
        <stp>[FA1_j2ahgkxc.xlsx]Income - Adjusted!R13C42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3" s="2"/>
      </tp>
      <tp t="s">
        <v>—</v>
        <stp/>
        <stp>##V3_BDHV12</stp>
        <stp>AMZN US Equity</stp>
        <stp>IS_NET_INTEREST_EXPENSE</stp>
        <stp>FQ4 2002</stp>
        <stp>FQ4 2002</stp>
        <stp>[FA1_j2ahgkxc.xlsx]Income - Adjusted!R13C18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>
        <v>30</v>
        <stp/>
        <stp>##V3_BDHV12</stp>
        <stp>AMZN US Equity</stp>
        <stp>EARN_FOR_COMMON</stp>
        <stp>FQ3 2005</stp>
        <stp>FQ3 2005</stp>
        <stp>[FA1_j2ahgkxc.xlsx]Income - Adjusted!R31C29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31" s="2"/>
      </tp>
      <tp>
        <v>0</v>
        <stp/>
        <stp>##V3_BDHV12</stp>
        <stp>AMZN US Equity</stp>
        <stp>EQY_DPS</stp>
        <stp>FQ4 2004</stp>
        <stp>FQ4 2004</stp>
        <stp>[FA1_j2ahgkxc.xlsx]Per Share!R20C26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0" s="5"/>
      </tp>
      <tp>
        <v>0</v>
        <stp/>
        <stp>##V3_BDHV12</stp>
        <stp>AMZN US Equity</stp>
        <stp>EQY_DPS</stp>
        <stp>FQ4 2006</stp>
        <stp>FQ4 2006</stp>
        <stp>[FA1_j2ahgkxc.xlsx]Per Share!R20C34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0" s="5"/>
      </tp>
      <tp>
        <v>0</v>
        <stp/>
        <stp>##V3_BDHV12</stp>
        <stp>AMZN US Equity</stp>
        <stp>EQY_DPS</stp>
        <stp>FQ1 2005</stp>
        <stp>FQ1 2005</stp>
        <stp>[FA1_j2ahgkxc.xlsx]Per Share!R20C27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0" s="5"/>
      </tp>
      <tp>
        <v>0</v>
        <stp/>
        <stp>##V3_BDHV12</stp>
        <stp>AMZN US Equity</stp>
        <stp>EQY_DPS</stp>
        <stp>FQ1 2007</stp>
        <stp>FQ1 2007</stp>
        <stp>[FA1_j2ahgkxc.xlsx]Per Share!R20C35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0" s="5"/>
      </tp>
      <tp>
        <v>0</v>
        <stp/>
        <stp>##V3_BDHV12</stp>
        <stp>AMZN US Equity</stp>
        <stp>EQY_DPS</stp>
        <stp>FQ3 2001</stp>
        <stp>FQ3 2001</stp>
        <stp>[FA1_j2ahgkxc.xlsx]Per Share!R20C13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0" s="5"/>
      </tp>
      <tp>
        <v>0</v>
        <stp/>
        <stp>##V3_BDHV12</stp>
        <stp>AMZN US Equity</stp>
        <stp>EQY_DPS</stp>
        <stp>FQ3 2003</stp>
        <stp>FQ3 2003</stp>
        <stp>[FA1_j2ahgkxc.xlsx]Per Share!R20C21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0" s="5"/>
      </tp>
      <tp>
        <v>108</v>
        <stp/>
        <stp>##V3_BDHV12</stp>
        <stp>AMZN US Equity</stp>
        <stp>EBITA</stp>
        <stp>FQ1 2006</stp>
        <stp>FQ1 2006</stp>
        <stp>[FA1_j2ahgkxc.xlsx]Income - Adjusted!R48C31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8" s="2"/>
      </tp>
      <tp>
        <v>110.435</v>
        <stp/>
        <stp>##V3_BDHV12</stp>
        <stp>AMZN US Equity</stp>
        <stp>EBITA</stp>
        <stp>FQ1 2004</stp>
        <stp>FQ1 2004</stp>
        <stp>[FA1_j2ahgkxc.xlsx]Income - Adjusted!R48C23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8" s="2"/>
      </tp>
      <tp>
        <v>13.718</v>
        <stp/>
        <stp>##V3_BDHV12</stp>
        <stp>AMZN US Equity</stp>
        <stp>EBITA</stp>
        <stp>FQ1 2002</stp>
        <stp>FQ1 2002</stp>
        <stp>[FA1_j2ahgkxc.xlsx]Income - Adjusted!R48C15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8" s="2"/>
      </tp>
      <tp>
        <v>34.8889</v>
        <stp/>
        <stp>##V3_BDHV12</stp>
        <stp>AMZN US Equity</stp>
        <stp>OTHER_INS_RES_TO_SHRHLDR_EQY</stp>
        <stp>FQ4 2003</stp>
        <stp>FQ4 2003</stp>
        <stp>[FA1_j2ahgkxc.xlsx]Bal Sheet - Standardized!R51C22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1" s="3"/>
      </tp>
      <tp>
        <v>-0.37740000000000001</v>
        <stp/>
        <stp>##V3_BDHV12</stp>
        <stp>AMZN US Equity</stp>
        <stp>FREE_CASH_FLOW_PER_SH</stp>
        <stp>FQ2 1999</stp>
        <stp>FQ2 1999</stp>
        <stp>[FA1_j2ahgkxc.xlsx]Cash Flow - Standardized!R52C4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2" s="4"/>
      </tp>
      <tp>
        <v>-0.44009999999999999</v>
        <stp/>
        <stp>##V3_BDHV12</stp>
        <stp>AMZN US Equity</stp>
        <stp>FREE_CASH_FLOW_PER_SH</stp>
        <stp>FQ3 1999</stp>
        <stp>FQ3 1999</stp>
        <stp>[FA1_j2ahgkxc.xlsx]Cash Flow - Standardized!R52C5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2" s="4"/>
      </tp>
      <tp>
        <v>-1.0089999999999999</v>
        <stp/>
        <stp>##V3_BDHV12</stp>
        <stp>AMZN US Equity</stp>
        <stp>FREE_CASH_FLOW_PER_SH</stp>
        <stp>FQ1 2000</stp>
        <stp>FQ1 2000</stp>
        <stp>[FA1_j2ahgkxc.xlsx]Cash Flow - Standardized!R52C7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2" s="4"/>
      </tp>
      <tp>
        <v>-1506</v>
        <stp/>
        <stp>##V3_BDHV12</stp>
        <stp>AMZN US Equity</stp>
        <stp>NET_DEBT</stp>
        <stp>FQ2 2008</stp>
        <stp>FQ2 2008</stp>
        <stp>[FA1_j2ahgkxc.xlsx]Bal Sheet - Standardized!R65C40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5" s="3"/>
      </tp>
      <tp>
        <v>554.83199999999999</v>
        <stp/>
        <stp>##V3_BDHV12</stp>
        <stp>AMZN US Equity</stp>
        <stp>NET_DEBT</stp>
        <stp>FQ4 2003</stp>
        <stp>FQ4 2003</stp>
        <stp>[FA1_j2ahgkxc.xlsx]Bal Sheet - Standardized!R65C22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5" s="3"/>
      </tp>
      <tp>
        <v>7</v>
        <stp/>
        <stp>##V3_BDHV12</stp>
        <stp>AMZN US Equity</stp>
        <stp>CF_TAX_BENEFIT_FRM_STOCK_OPTIONS</stp>
        <stp>FQ1 2006</stp>
        <stp>FQ1 2006</stp>
        <stp>[FA1_j2ahgkxc.xlsx]Cash Flow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4"/>
      </tp>
      <tp t="s">
        <v>—</v>
        <stp/>
        <stp>##V3_BDHV12</stp>
        <stp>AMZN US Equity</stp>
        <stp>CF_TAX_BENEFIT_FRM_STOCK_OPTIONS</stp>
        <stp>FQ3 2002</stp>
        <stp>FQ3 2002</stp>
        <stp>[FA1_j2ahgkxc.xlsx]Cash Flow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4"/>
      </tp>
      <tp>
        <v>78.501000000000005</v>
        <stp/>
        <stp>##V3_BDHV12</stp>
        <stp>AMZN US Equity</stp>
        <stp>NET_DEBT</stp>
        <stp>FQ4 2004</stp>
        <stp>FQ4 2004</stp>
        <stp>[FA1_j2ahgkxc.xlsx]Bal Sheet - Standardized!R65C26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5" s="3"/>
      </tp>
      <tp t="s">
        <v>—</v>
        <stp/>
        <stp>##V3_BDHV12</stp>
        <stp>AMZN US Equity</stp>
        <stp>CF_TAX_BENEFIT_FRM_STOCK_OPTIONS</stp>
        <stp>FQ3 2001</stp>
        <stp>FQ3 2001</stp>
        <stp>[FA1_j2ahgkxc.xlsx]Cash Flow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4"/>
      </tp>
      <tp>
        <v>64</v>
        <stp/>
        <stp>##V3_BDHV12</stp>
        <stp>AMZN US Equity</stp>
        <stp>CF_TAX_BENEFIT_FRM_STOCK_OPTIONS</stp>
        <stp>FQ1 2008</stp>
        <stp>FQ1 2008</stp>
        <stp>[FA1_j2ahgkxc.xlsx]Cash Flow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4"/>
      </tp>
      <tp>
        <v>24</v>
        <stp/>
        <stp>##V3_BDHV12</stp>
        <stp>AMZN US Equity</stp>
        <stp>CF_TAX_BENEFIT_FRM_STOCK_OPTIONS</stp>
        <stp>FQ1 2007</stp>
        <stp>FQ1 2007</stp>
        <stp>[FA1_j2ahgkxc.xlsx]Cash Flow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4"/>
      </tp>
      <tp>
        <v>38.555</v>
        <stp/>
        <stp>##V3_BDHV12</stp>
        <stp>AMZN US Equity</stp>
        <stp>CF_INCR_CAP_STOCK</stp>
        <stp>FQ1 2003</stp>
        <stp>FQ1 2003</stp>
        <stp>[FA1_j2ahgkxc.xlsx]Cash Flow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4"/>
      </tp>
      <tp>
        <v>9</v>
        <stp/>
        <stp>##V3_BDHV12</stp>
        <stp>AMZN US Equity</stp>
        <stp>CF_INCR_CAP_STOCK</stp>
        <stp>FQ2 2005</stp>
        <stp>FQ2 2005</stp>
        <stp>[FA1_j2ahgkxc.xlsx]Cash Flow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4"/>
      </tp>
      <tp>
        <v>0</v>
        <stp/>
        <stp>##V3_BDHV12</stp>
        <stp>AMZN US Equity</stp>
        <stp>CF_INCR_CAP_STOCK</stp>
        <stp>FQ4 2008</stp>
        <stp>FQ4 2008</stp>
        <stp>[FA1_j2ahgkxc.xlsx]Cash Flow - Standardized!R34C42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4"/>
      </tp>
      <tp>
        <v>69</v>
        <stp/>
        <stp>##V3_BDHV12</stp>
        <stp>AMZN US Equity</stp>
        <stp>CF_INCR_CAP_STOCK</stp>
        <stp>FQ3 2007</stp>
        <stp>FQ3 2007</stp>
        <stp>[FA1_j2ahgkxc.xlsx]Cash Flow - Standardized!R34C37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4"/>
      </tp>
      <tp>
        <v>20.077000000000002</v>
        <stp/>
        <stp>##V3_BDHV12</stp>
        <stp>AMZN US Equity</stp>
        <stp>CF_INCR_CAP_STOCK</stp>
        <stp>FQ2 2004</stp>
        <stp>FQ2 2004</stp>
        <stp>[FA1_j2ahgkxc.xlsx]Cash Flow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4"/>
      </tp>
      <tp>
        <v>5.8330000000000002</v>
        <stp/>
        <stp>##V3_BDHV12</stp>
        <stp>AMZN US Equity</stp>
        <stp>CF_INCR_CAP_STOCK</stp>
        <stp>FQ1 2001</stp>
        <stp>FQ1 2001</stp>
        <stp>[FA1_j2ahgkxc.xlsx]Cash Flow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4"/>
      </tp>
      <tp>
        <v>53.042000000000002</v>
        <stp/>
        <stp>##V3_BDHV12</stp>
        <stp>AMZN US Equity</stp>
        <stp>CF_INCR_CAP_STOCK</stp>
        <stp>FQ2 2003</stp>
        <stp>FQ2 2003</stp>
        <stp>[FA1_j2ahgkxc.xlsx]Cash Flow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4"/>
      </tp>
      <tp>
        <v>0</v>
        <stp/>
        <stp>##V3_BDHV12</stp>
        <stp>AMZN US Equity</stp>
        <stp>IS_TOT_CASH_PFD_DVD</stp>
        <stp>FQ2 1999</stp>
        <stp>FQ2 1999</stp>
        <stp>[FA1_j2ahgkxc.xlsx]Income - Adjusted!R27C5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2"/>
      </tp>
      <tp>
        <v>13</v>
        <stp/>
        <stp>##V3_BDHV12</stp>
        <stp>AMZN US Equity</stp>
        <stp>CF_INCR_CAP_STOCK</stp>
        <stp>FQ3 2006</stp>
        <stp>FQ3 2006</stp>
        <stp>[FA1_j2ahgkxc.xlsx]Cash Flow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4"/>
      </tp>
      <tp>
        <v>7.4089999999999998</v>
        <stp/>
        <stp>##V3_BDHV12</stp>
        <stp>AMZN US Equity</stp>
        <stp>CF_INCR_CAP_STOCK</stp>
        <stp>FQ1 2002</stp>
        <stp>FQ1 2002</stp>
        <stp>[FA1_j2ahgkxc.xlsx]Cash Flow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4"/>
      </tp>
      <tp t="s">
        <v>—</v>
        <stp/>
        <stp>##V3_BDHV12</stp>
        <stp>AMZN US Equity</stp>
        <stp>IS_SG&amp;A_EXPENSE</stp>
        <stp>FQ4 2000</stp>
        <stp>FQ4 2000</stp>
        <stp>[FA1_j2ahgkxc.xlsx]Income - Adjusted!R10C10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 t="s">
        <v>—</v>
        <stp/>
        <stp>##V3_BDHV12</stp>
        <stp>AMZN US Equity</stp>
        <stp>IS_SG&amp;A_EXPENSE</stp>
        <stp>FQ1 2001</stp>
        <stp>FQ1 2001</stp>
        <stp>[FA1_j2ahgkxc.xlsx]Income - Adjusted!R10C11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 t="s">
        <v>—</v>
        <stp/>
        <stp>##V3_BDHV12</stp>
        <stp>AMZN US Equity</stp>
        <stp>IS_SG&amp;A_EXPENSE</stp>
        <stp>FQ3 2007</stp>
        <stp>FQ3 2007</stp>
        <stp>[FA1_j2ahgkxc.xlsx]Income - Adjusted!R10C37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0" s="2"/>
      </tp>
      <tp t="s">
        <v>—</v>
        <stp/>
        <stp>##V3_BDHV12</stp>
        <stp>AMZN US Equity</stp>
        <stp>IS_SG&amp;A_EXPENSE</stp>
        <stp>FQ2 2004</stp>
        <stp>FQ2 2004</stp>
        <stp>[FA1_j2ahgkxc.xlsx]Income - Adjusted!R10C24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>
        <v>-316</v>
        <stp/>
        <stp>##V3_BDHV12</stp>
        <stp>AMZN US Equity</stp>
        <stp>CFF_ACTIVITIES_DETAILED</stp>
        <stp>FQ3 2008</stp>
        <stp>FQ3 2008</stp>
        <stp>[FA1_j2ahgkxc.xlsx]Cash Flow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4"/>
      </tp>
      <tp>
        <v>164</v>
        <stp/>
        <stp>##V3_BDHV12</stp>
        <stp>AMZN US Equity</stp>
        <stp>CFF_ACTIVITIES_DETAILED</stp>
        <stp>FQ4 2007</stp>
        <stp>FQ4 2007</stp>
        <stp>[FA1_j2ahgkxc.xlsx]Cash Flow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4"/>
      </tp>
      <tp>
        <v>107</v>
        <stp/>
        <stp>##V3_BDHV12</stp>
        <stp>AMZN US Equity</stp>
        <stp>CFF_ACTIVITIES_DETAILED</stp>
        <stp>FQ4 2006</stp>
        <stp>FQ4 2006</stp>
        <stp>[FA1_j2ahgkxc.xlsx]Cash Flow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4"/>
      </tp>
      <tp>
        <v>16</v>
        <stp/>
        <stp>##V3_BDHV12</stp>
        <stp>AMZN US Equity</stp>
        <stp>CFF_ACTIVITIES_DETAILED</stp>
        <stp>FQ4 2005</stp>
        <stp>FQ4 2005</stp>
        <stp>[FA1_j2ahgkxc.xlsx]Cash Flow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4"/>
      </tp>
      <tp>
        <v>416</v>
        <stp/>
        <stp>##V3_BDHV12</stp>
        <stp>AMZN US Equity</stp>
        <stp>IS_AVG_NUM_SH_FOR_EPS</stp>
        <stp>FQ4 2007</stp>
        <stp>FQ4 2007</stp>
        <stp>[FA1_j2ahgkxc.xlsx]Income - Adjusted!R34C38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4" s="2"/>
      </tp>
      <tp>
        <v>-7.0000000000000007E-2</v>
        <stp/>
        <stp>##V3_BDHV12</stp>
        <stp>AMZN US Equity</stp>
        <stp>IS_DIL_EPS_CONT_OPS</stp>
        <stp>FQ4 1998</stp>
        <stp>FQ4 1998</stp>
        <stp>[FA1_j2ahgkxc.xlsx]Per Share!R19C3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9" s="5"/>
      </tp>
      <tp t="s">
        <v>—</v>
        <stp/>
        <stp>##V3_BDHV12</stp>
        <stp>AMZN US Equity</stp>
        <stp>IS_NET_INTEREST_EXPENSE</stp>
        <stp>FQ1 2000</stp>
        <stp>FQ1 2000</stp>
        <stp>[FA1_j2ahgkxc.xlsx]Income - Adjusted!R13C8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128.13399999999999</v>
        <stp/>
        <stp>##V3_BDHV12</stp>
        <stp>AMZN US Equity</stp>
        <stp>GROSS_PROFIT</stp>
        <stp>FQ1 2000</stp>
        <stp>FQ1 2000</stp>
        <stp>[FA1_j2ahgkxc.xlsx]Income - Adjusted!R8C8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 t="s">
        <v>—</v>
        <stp/>
        <stp>##V3_BDHV12</stp>
        <stp>AMZN US Equity</stp>
        <stp>CF_DEF_INC_TAX</stp>
        <stp>FQ1 2000</stp>
        <stp>FQ1 2000</stp>
        <stp>[FA1_j2ahgkxc.xlsx]Cash Flow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2.5865</v>
        <stp/>
        <stp>##V3_BDHV12</stp>
        <stp>AMZN US Equity</stp>
        <stp>FREE_CASH_FLOW_PER_SH</stp>
        <stp>FQ4 2007</stp>
        <stp>FQ4 2007</stp>
        <stp>[FA1_j2ahgkxc.xlsx]Per Share!R23C38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3" s="5"/>
      </tp>
      <tp t="s">
        <v>—</v>
        <stp/>
        <stp>##V3_BDHV12</stp>
        <stp>AMZN US Equity</stp>
        <stp>CF_DEF_INC_TAX</stp>
        <stp>FQ3 2000</stp>
        <stp>FQ3 2000</stp>
        <stp>[FA1_j2ahgkxc.xlsx]Cash Flow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4"/>
      </tp>
      <tp t="s">
        <v>—</v>
        <stp/>
        <stp>##V3_BDHV12</stp>
        <stp>AMZN US Equity</stp>
        <stp>CF_DEF_INC_TAX</stp>
        <stp>FQ2 2000</stp>
        <stp>FQ2 2000</stp>
        <stp>[FA1_j2ahgkxc.xlsx]Cash Flow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4"/>
      </tp>
      <tp t="s">
        <v>—</v>
        <stp/>
        <stp>##V3_BDHV12</stp>
        <stp>AMZN US Equity</stp>
        <stp>IS_NET_INTEREST_EXPENSE</stp>
        <stp>FQ3 2008</stp>
        <stp>FQ3 2008</stp>
        <stp>[FA1_j2ahgkxc.xlsx]Income - Adjusted!R13C41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3" s="2"/>
      </tp>
      <tp>
        <v>207</v>
        <stp/>
        <stp>##V3_BDHV12</stp>
        <stp>AMZN US Equity</stp>
        <stp>EARN_FOR_COMMON</stp>
        <stp>FQ4 2007</stp>
        <stp>FQ4 2007</stp>
        <stp>[FA1_j2ahgkxc.xlsx]Income - Adjusted!R31C38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31" s="2"/>
      </tp>
      <tp>
        <v>338.38900000000001</v>
        <stp/>
        <stp>##V3_BDHV12</stp>
        <stp>AMZN US Equity</stp>
        <stp>IS_AVG_NUM_SH_FOR_EPS</stp>
        <stp>FQ4 1999</stp>
        <stp>FQ4 1999</stp>
        <stp>[FA1_j2ahgkxc.xlsx]Per Share!R8C7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5"/>
      </tp>
      <tp>
        <v>0.28000000000000003</v>
        <stp/>
        <stp>##V3_BDHV12</stp>
        <stp>AMZN US Equity</stp>
        <stp>IS_BASIC_EPS_CONT_OPS</stp>
        <stp>FQ2 2008</stp>
        <stp>FQ2 2008</stp>
        <stp>[FA1_j2ahgkxc.xlsx]Per Share!R16C40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6" s="5"/>
      </tp>
      <tp>
        <v>0</v>
        <stp/>
        <stp>##V3_BDHV12</stp>
        <stp>AMZN US Equity</stp>
        <stp>EQY_DPS</stp>
        <stp>FQ4 2003</stp>
        <stp>FQ4 2003</stp>
        <stp>[FA1_j2ahgkxc.xlsx]Per Share!R20C22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0" s="5"/>
      </tp>
      <tp>
        <v>0</v>
        <stp/>
        <stp>##V3_BDHV12</stp>
        <stp>AMZN US Equity</stp>
        <stp>EQY_DPS</stp>
        <stp>FQ1 2008</stp>
        <stp>FQ1 2008</stp>
        <stp>[FA1_j2ahgkxc.xlsx]Per Share!R20C39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0" s="5"/>
      </tp>
      <tp>
        <v>0</v>
        <stp/>
        <stp>##V3_BDHV12</stp>
        <stp>AMZN US Equity</stp>
        <stp>EQY_DPS</stp>
        <stp>FQ3 2004</stp>
        <stp>FQ3 2004</stp>
        <stp>[FA1_j2ahgkxc.xlsx]Per Share!R20C25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0" s="5"/>
      </tp>
      <tp>
        <v>0</v>
        <stp/>
        <stp>##V3_BDHV12</stp>
        <stp>AMZN US Equity</stp>
        <stp>EQY_DPS</stp>
        <stp>FQ2 2007</stp>
        <stp>FQ2 2007</stp>
        <stp>[FA1_j2ahgkxc.xlsx]Per Share!R20C36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0" s="5"/>
      </tp>
      <tp>
        <v>49</v>
        <stp/>
        <stp>##V3_BDHV12</stp>
        <stp>AMZN US Equity</stp>
        <stp>EBITA</stp>
        <stp>FQ2 2006</stp>
        <stp>FQ2 2006</stp>
        <stp>[FA1_j2ahgkxc.xlsx]Income - Adjusted!R48C32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8" s="2"/>
      </tp>
      <tp>
        <v>2.8460000000000001</v>
        <stp/>
        <stp>##V3_BDHV12</stp>
        <stp>AMZN US Equity</stp>
        <stp>EBITA</stp>
        <stp>FQ2 2002</stp>
        <stp>FQ2 2002</stp>
        <stp>[FA1_j2ahgkxc.xlsx]Income - Adjusted!R48C16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8" s="2"/>
      </tp>
      <tp>
        <v>-3032.3688999999999</v>
        <stp/>
        <stp>##V3_BDHV12</stp>
        <stp>AMZN US Equity</stp>
        <stp>OTHER_INS_RES_TO_SHRHLDR_EQY</stp>
        <stp>FQ3 2002</stp>
        <stp>FQ3 2002</stp>
        <stp>[FA1_j2ahgkxc.xlsx]Bal Sheet - Standardized!R51C17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1" s="3"/>
      </tp>
      <tp>
        <v>-2994.6550000000002</v>
        <stp/>
        <stp>##V3_BDHV12</stp>
        <stp>AMZN US Equity</stp>
        <stp>OTHER_INS_RES_TO_SHRHLDR_EQY</stp>
        <stp>FQ2 2002</stp>
        <stp>FQ2 2002</stp>
        <stp>[FA1_j2ahgkxc.xlsx]Bal Sheet - Standardized!R51C16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1" s="3"/>
      </tp>
      <tp>
        <v>-2932.0610000000001</v>
        <stp/>
        <stp>##V3_BDHV12</stp>
        <stp>AMZN US Equity</stp>
        <stp>OTHER_INS_RES_TO_SHRHLDR_EQY</stp>
        <stp>FQ1 2002</stp>
        <stp>FQ1 2002</stp>
        <stp>[FA1_j2ahgkxc.xlsx]Bal Sheet - Standardized!R51C15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1" s="3"/>
      </tp>
      <tp>
        <v>9</v>
        <stp/>
        <stp>##V3_BDHV12</stp>
        <stp>AMZN US Equity</stp>
        <stp>OTHER_INS_RES_TO_SHRHLDR_EQY</stp>
        <stp>FQ1 2006</stp>
        <stp>FQ1 2006</stp>
        <stp>[FA1_j2ahgkxc.xlsx]Bal Sheet - Standardized!R51C31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1" s="3"/>
      </tp>
      <tp>
        <v>1</v>
        <stp/>
        <stp>##V3_BDHV12</stp>
        <stp>AMZN US Equity</stp>
        <stp>OTHER_INS_RES_TO_SHRHLDR_EQY</stp>
        <stp>FQ3 2006</stp>
        <stp>FQ3 2006</stp>
        <stp>[FA1_j2ahgkxc.xlsx]Bal Sheet - Standardized!R51C33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1" s="3"/>
      </tp>
      <tp>
        <v>-2</v>
        <stp/>
        <stp>##V3_BDHV12</stp>
        <stp>AMZN US Equity</stp>
        <stp>OTHER_INS_RES_TO_SHRHLDR_EQY</stp>
        <stp>FQ2 2006</stp>
        <stp>FQ2 2006</stp>
        <stp>[FA1_j2ahgkxc.xlsx]Bal Sheet - Standardized!R51C32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1" s="3"/>
      </tp>
      <tp>
        <v>-1</v>
        <stp/>
        <stp>##V3_BDHV12</stp>
        <stp>AMZN US Equity</stp>
        <stp>OTHER_INS_RES_TO_SHRHLDR_EQY</stp>
        <stp>FQ4 2006</stp>
        <stp>FQ4 2006</stp>
        <stp>[FA1_j2ahgkxc.xlsx]Bal Sheet - Standardized!R51C34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1" s="3"/>
      </tp>
      <tp>
        <v>31.0901</v>
        <stp/>
        <stp>##V3_BDHV12</stp>
        <stp>AMZN US Equity</stp>
        <stp>OTHER_INS_RES_TO_SHRHLDR_EQY</stp>
        <stp>FQ1 2004</stp>
        <stp>FQ1 2004</stp>
        <stp>[FA1_j2ahgkxc.xlsx]Bal Sheet - Standardized!R51C23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1" s="3"/>
      </tp>
      <tp>
        <v>30.071000000000002</v>
        <stp/>
        <stp>##V3_BDHV12</stp>
        <stp>AMZN US Equity</stp>
        <stp>OTHER_INS_RES_TO_SHRHLDR_EQY</stp>
        <stp>FQ4 2004</stp>
        <stp>FQ4 2004</stp>
        <stp>[FA1_j2ahgkxc.xlsx]Bal Sheet - Standardized!R51C26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1" s="3"/>
      </tp>
      <tp>
        <v>-1787</v>
        <stp/>
        <stp>##V3_BDHV12</stp>
        <stp>AMZN US Equity</stp>
        <stp>NET_DEBT</stp>
        <stp>FQ4 2007</stp>
        <stp>FQ4 2007</stp>
        <stp>[FA1_j2ahgkxc.xlsx]Bal Sheet - Standardized!R65C38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5" s="3"/>
      </tp>
      <tp>
        <v>-1889</v>
        <stp/>
        <stp>##V3_BDHV12</stp>
        <stp>AMZN US Equity</stp>
        <stp>NET_DEBT</stp>
        <stp>FQ3 2008</stp>
        <stp>FQ3 2008</stp>
        <stp>[FA1_j2ahgkxc.xlsx]Bal Sheet - Standardized!R65C41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5" s="3"/>
      </tp>
      <tp t="s">
        <v>—</v>
        <stp/>
        <stp>##V3_BDHV12</stp>
        <stp>AMZN US Equity</stp>
        <stp>CF_TAX_BENEFIT_FRM_STOCK_OPTIONS</stp>
        <stp>FQ1 2004</stp>
        <stp>FQ1 2004</stp>
        <stp>[FA1_j2ahgkxc.xlsx]Cash Flow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4"/>
      </tp>
      <tp t="s">
        <v>—</v>
        <stp/>
        <stp>##V3_BDHV12</stp>
        <stp>AMZN US Equity</stp>
        <stp>CF_TAX_BENEFIT_FRM_STOCK_OPTIONS</stp>
        <stp>FQ2 2002</stp>
        <stp>FQ2 2002</stp>
        <stp>[FA1_j2ahgkxc.xlsx]Cash Flow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4"/>
      </tp>
      <tp>
        <v>-721</v>
        <stp/>
        <stp>##V3_BDHV12</stp>
        <stp>AMZN US Equity</stp>
        <stp>NET_DEBT</stp>
        <stp>FQ4 2006</stp>
        <stp>FQ4 2006</stp>
        <stp>[FA1_j2ahgkxc.xlsx]Bal Sheet - Standardized!R65C34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5" s="3"/>
      </tp>
      <tp t="s">
        <v>—</v>
        <stp/>
        <stp>##V3_BDHV12</stp>
        <stp>AMZN US Equity</stp>
        <stp>CF_TAX_BENEFIT_FRM_STOCK_OPTIONS</stp>
        <stp>FQ2 2001</stp>
        <stp>FQ2 2001</stp>
        <stp>[FA1_j2ahgkxc.xlsx]Cash Flow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4"/>
      </tp>
      <tp>
        <v>-474</v>
        <stp/>
        <stp>##V3_BDHV12</stp>
        <stp>AMZN US Equity</stp>
        <stp>NET_DEBT</stp>
        <stp>FQ4 2005</stp>
        <stp>FQ4 2005</stp>
        <stp>[FA1_j2ahgkxc.xlsx]Bal Sheet - Standardized!R65C30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5" s="3"/>
      </tp>
      <tp t="s">
        <v>—</v>
        <stp/>
        <stp>##V3_BDHV12</stp>
        <stp>AMZN US Equity</stp>
        <stp>CF_TAX_BENEFIT_FRM_STOCK_OPTIONS</stp>
        <stp>FQ1 2005</stp>
        <stp>FQ1 2005</stp>
        <stp>[FA1_j2ahgkxc.xlsx]Cash Flow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4"/>
      </tp>
      <tp>
        <v>0</v>
        <stp/>
        <stp>##V3_BDHV12</stp>
        <stp>AMZN US Equity</stp>
        <stp>IS_TOT_CASH_PFD_DVD</stp>
        <stp>FQ3 2000</stp>
        <stp>FQ3 2000</stp>
        <stp>[FA1_j2ahgkxc.xlsx]Income - Adjusted!R27C9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2"/>
      </tp>
      <tp>
        <v>23</v>
        <stp/>
        <stp>##V3_BDHV12</stp>
        <stp>AMZN US Equity</stp>
        <stp>CF_INCR_CAP_STOCK</stp>
        <stp>FQ3 2005</stp>
        <stp>FQ3 2005</stp>
        <stp>[FA1_j2ahgkxc.xlsx]Cash Flow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4"/>
      </tp>
      <tp>
        <v>70</v>
        <stp/>
        <stp>##V3_BDHV12</stp>
        <stp>AMZN US Equity</stp>
        <stp>CF_INCR_CAP_STOCK</stp>
        <stp>FQ2 2007</stp>
        <stp>FQ2 2007</stp>
        <stp>[FA1_j2ahgkxc.xlsx]Cash Flow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4"/>
      </tp>
      <tp>
        <v>7.7270000000000003</v>
        <stp/>
        <stp>##V3_BDHV12</stp>
        <stp>AMZN US Equity</stp>
        <stp>CF_INCR_CAP_STOCK</stp>
        <stp>FQ3 2004</stp>
        <stp>FQ3 2004</stp>
        <stp>[FA1_j2ahgkxc.xlsx]Cash Flow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4"/>
      </tp>
      <tp>
        <v>41.234999999999999</v>
        <stp/>
        <stp>##V3_BDHV12</stp>
        <stp>AMZN US Equity</stp>
        <stp>CF_INCR_CAP_STOCK</stp>
        <stp>FQ3 2003</stp>
        <stp>FQ3 2003</stp>
        <stp>[FA1_j2ahgkxc.xlsx]Cash Flow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4"/>
      </tp>
      <tp>
        <v>28</v>
        <stp/>
        <stp>##V3_BDHV12</stp>
        <stp>AMZN US Equity</stp>
        <stp>CF_INCR_CAP_STOCK</stp>
        <stp>FQ2 2006</stp>
        <stp>FQ2 2006</stp>
        <stp>[FA1_j2ahgkxc.xlsx]Cash Flow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4"/>
      </tp>
      <tp>
        <v>0</v>
        <stp/>
        <stp>##V3_BDHV12</stp>
        <stp>AMZN US Equity</stp>
        <stp>IS_TOT_CASH_PFD_DVD</stp>
        <stp>FQ3 1999</stp>
        <stp>FQ3 1999</stp>
        <stp>[FA1_j2ahgkxc.xlsx]Income - Adjusted!R27C6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2"/>
      </tp>
      <tp t="s">
        <v>—</v>
        <stp/>
        <stp>##V3_BDHV12</stp>
        <stp>AMZN US Equity</stp>
        <stp>IS_SG&amp;A_EXPENSE</stp>
        <stp>FQ4 2003</stp>
        <stp>FQ4 2003</stp>
        <stp>[FA1_j2ahgkxc.xlsx]Income - Adjusted!R10C22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 t="s">
        <v>—</v>
        <stp/>
        <stp>##V3_BDHV12</stp>
        <stp>AMZN US Equity</stp>
        <stp>IS_SG&amp;A_EXPENSE</stp>
        <stp>FQ1 2008</stp>
        <stp>FQ1 2008</stp>
        <stp>[FA1_j2ahgkxc.xlsx]Income - Adjusted!R10C39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0" s="2"/>
      </tp>
      <tp t="s">
        <v>—</v>
        <stp/>
        <stp>##V3_BDHV12</stp>
        <stp>AMZN US Equity</stp>
        <stp>IS_SG&amp;A_EXPENSE</stp>
        <stp>FQ3 2004</stp>
        <stp>FQ3 2004</stp>
        <stp>[FA1_j2ahgkxc.xlsx]Income - Adjusted!R10C25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 t="s">
        <v>—</v>
        <stp/>
        <stp>##V3_BDHV12</stp>
        <stp>AMZN US Equity</stp>
        <stp>IS_SG&amp;A_EXPENSE</stp>
        <stp>FQ2 2007</stp>
        <stp>FQ2 2007</stp>
        <stp>[FA1_j2ahgkxc.xlsx]Income - Adjusted!R10C36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>
        <v>6</v>
        <stp/>
        <stp>##V3_BDHV12</stp>
        <stp>AMZN US Equity</stp>
        <stp>CFF_ACTIVITIES_DETAILED</stp>
        <stp>FQ2 2008</stp>
        <stp>FQ2 2008</stp>
        <stp>[FA1_j2ahgkxc.xlsx]Cash Flow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4"/>
      </tp>
      <tp>
        <v>-138.59700000000001</v>
        <stp/>
        <stp>##V3_BDHV12</stp>
        <stp>AMZN US Equity</stp>
        <stp>CFF_ACTIVITIES_DETAILED</stp>
        <stp>FQ4 2003</stp>
        <stp>FQ4 2003</stp>
        <stp>[FA1_j2ahgkxc.xlsx]Cash Flow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4"/>
      </tp>
      <tp>
        <v>64.861999999999995</v>
        <stp/>
        <stp>##V3_BDHV12</stp>
        <stp>AMZN US Equity</stp>
        <stp>CFF_ACTIVITIES_DETAILED</stp>
        <stp>FQ4 2004</stp>
        <stp>FQ4 2004</stp>
        <stp>[FA1_j2ahgkxc.xlsx]Cash Flow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4"/>
      </tp>
      <tp>
        <v>-0.255</v>
        <stp/>
        <stp>##V3_BDHV12</stp>
        <stp>AMZN US Equity</stp>
        <stp>IS_DIL_EPS_CONT_OPS</stp>
        <stp>FQ2 1999</stp>
        <stp>FQ2 1999</stp>
        <stp>[FA1_j2ahgkxc.xlsx]Per Share!R19C5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9" s="5"/>
      </tp>
      <tp t="s">
        <v>—</v>
        <stp/>
        <stp>##V3_BDHV12</stp>
        <stp>AMZN US Equity</stp>
        <stp>IS_NET_INTEREST_EXPENSE</stp>
        <stp>FQ2 2008</stp>
        <stp>FQ2 2008</stp>
        <stp>[FA1_j2ahgkxc.xlsx]Income - Adjusted!R13C40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3" s="2"/>
      </tp>
      <tp>
        <v>0.28000000000000003</v>
        <stp/>
        <stp>##V3_BDHV12</stp>
        <stp>AMZN US Equity</stp>
        <stp>IS_BASIC_EPS_CONT_OPS</stp>
        <stp>FQ3 2008</stp>
        <stp>FQ3 2008</stp>
        <stp>[FA1_j2ahgkxc.xlsx]Per Share!R16C41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6" s="5"/>
      </tp>
      <tp>
        <v>343.88400000000001</v>
        <stp/>
        <stp>##V3_BDHV12</stp>
        <stp>AMZN US Equity</stp>
        <stp>IS_SH_FOR_DILUTED_EPS</stp>
        <stp>FQ1 2000</stp>
        <stp>FQ1 2000</stp>
        <stp>[FA1_j2ahgkxc.xlsx]Per Share!R7C8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5"/>
      </tp>
      <tp>
        <v>0</v>
        <stp/>
        <stp>##V3_BDHV12</stp>
        <stp>AMZN US Equity</stp>
        <stp>EQY_DPS</stp>
        <stp>FQ4 2000</stp>
        <stp>FQ4 2000</stp>
        <stp>[FA1_j2ahgkxc.xlsx]Per Share!R20C10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0" s="5"/>
      </tp>
      <tp>
        <v>0</v>
        <stp/>
        <stp>##V3_BDHV12</stp>
        <stp>AMZN US Equity</stp>
        <stp>EQY_DPS</stp>
        <stp>FQ1 2001</stp>
        <stp>FQ1 2001</stp>
        <stp>[FA1_j2ahgkxc.xlsx]Per Share!R20C11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0" s="5"/>
      </tp>
      <tp>
        <v>0</v>
        <stp/>
        <stp>##V3_BDHV12</stp>
        <stp>AMZN US Equity</stp>
        <stp>EQY_DPS</stp>
        <stp>FQ3 2007</stp>
        <stp>FQ3 2007</stp>
        <stp>[FA1_j2ahgkxc.xlsx]Per Share!R20C37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0" s="5"/>
      </tp>
      <tp>
        <v>0</v>
        <stp/>
        <stp>##V3_BDHV12</stp>
        <stp>AMZN US Equity</stp>
        <stp>EQY_DPS</stp>
        <stp>FQ2 2004</stp>
        <stp>FQ2 2004</stp>
        <stp>[FA1_j2ahgkxc.xlsx]Per Share!R20C24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0" s="5"/>
      </tp>
      <tp>
        <v>61.018999999999998</v>
        <stp/>
        <stp>##V3_BDHV12</stp>
        <stp>AMZN US Equity</stp>
        <stp>EBITA</stp>
        <stp>FQ4 2001</stp>
        <stp>FQ4 2001</stp>
        <stp>[FA1_j2ahgkxc.xlsx]Income - Adjusted!R48C14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8" s="2"/>
      </tp>
      <tp>
        <v>173</v>
        <stp/>
        <stp>##V3_BDHV12</stp>
        <stp>AMZN US Equity</stp>
        <stp>EBITA</stp>
        <stp>FQ4 2005</stp>
        <stp>FQ4 2005</stp>
        <stp>[FA1_j2ahgkxc.xlsx]Income - Adjusted!R48C30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8" s="2"/>
      </tp>
      <tp>
        <v>41</v>
        <stp/>
        <stp>##V3_BDHV12</stp>
        <stp>AMZN US Equity</stp>
        <stp>EBITA</stp>
        <stp>FQ3 2006</stp>
        <stp>FQ3 2006</stp>
        <stp>[FA1_j2ahgkxc.xlsx]Income - Adjusted!R48C33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8" s="2"/>
      </tp>
      <tp>
        <v>28.324000000000002</v>
        <stp/>
        <stp>##V3_BDHV12</stp>
        <stp>AMZN US Equity</stp>
        <stp>EBITA</stp>
        <stp>FQ3 2002</stp>
        <stp>FQ3 2002</stp>
        <stp>[FA1_j2ahgkxc.xlsx]Income - Adjusted!R48C17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8" s="2"/>
      </tp>
      <tp t="s">
        <v>—</v>
        <stp/>
        <stp>##V3_BDHV12</stp>
        <stp>AMZN US Equity</stp>
        <stp>BS_CURR_RENTAL_EXPENSE</stp>
        <stp>FQ4 1998</stp>
        <stp>FQ4 1998</stp>
        <stp>[FA1_j2ahgkxc.xlsx]Income - Adjusted!R58C3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8" s="2"/>
      </tp>
      <tp t="s">
        <v>—</v>
        <stp/>
        <stp>##V3_BDHV12</stp>
        <stp>AMZN US Equity</stp>
        <stp>BS_CURR_RENTAL_EXPENSE</stp>
        <stp>FQ4 1999</stp>
        <stp>FQ4 1999</stp>
        <stp>[FA1_j2ahgkxc.xlsx]Income - Adjusted!R58C7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8" s="2"/>
      </tp>
      <tp>
        <v>345.15499999999997</v>
        <stp/>
        <stp>##V3_BDHV12</stp>
        <stp>AMZN US Equity</stp>
        <stp>EQY_SH_OUT</stp>
        <stp>FQ1 2000</stp>
        <stp>FQ1 2000</stp>
        <stp>[FA1_j2ahgkxc.xlsx]Stock Value!R13C7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3" s="6"/>
      </tp>
      <tp>
        <v>204</v>
        <stp/>
        <stp>##V3_BDHV12</stp>
        <stp>AMZN US Equity</stp>
        <stp>NET_DEBT</stp>
        <stp>FQ2 2005</stp>
        <stp>FQ2 2005</stp>
        <stp>[FA1_j2ahgkxc.xlsx]Bal Sheet - Standardized!R65C28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5" s="3"/>
      </tp>
      <tp>
        <v>-3063</v>
        <stp/>
        <stp>##V3_BDHV12</stp>
        <stp>AMZN US Equity</stp>
        <stp>NET_DEBT</stp>
        <stp>FQ4 2008</stp>
        <stp>FQ4 2008</stp>
        <stp>[FA1_j2ahgkxc.xlsx]Bal Sheet - Standardized!R65C42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5" s="3"/>
      </tp>
      <tp>
        <v>1224.944</v>
        <stp/>
        <stp>##V3_BDHV12</stp>
        <stp>AMZN US Equity</stp>
        <stp>NET_DEBT</stp>
        <stp>FQ1 2003</stp>
        <stp>FQ1 2003</stp>
        <stp>[FA1_j2ahgkxc.xlsx]Bal Sheet - Standardized!R65C19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5" s="3"/>
      </tp>
      <tp>
        <v>155</v>
        <stp/>
        <stp>##V3_BDHV12</stp>
        <stp>AMZN US Equity</stp>
        <stp>NET_DEBT</stp>
        <stp>FQ3 2006</stp>
        <stp>FQ3 2006</stp>
        <stp>[FA1_j2ahgkxc.xlsx]Bal Sheet - Standardized!R65C33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5" s="3"/>
      </tp>
      <tp>
        <v>1420.973</v>
        <stp/>
        <stp>##V3_BDHV12</stp>
        <stp>AMZN US Equity</stp>
        <stp>NET_DEBT</stp>
        <stp>FQ1 2002</stp>
        <stp>FQ1 2002</stp>
        <stp>[FA1_j2ahgkxc.xlsx]Bal Sheet - Standardized!R65C15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5" s="3"/>
      </tp>
      <tp>
        <v>1093.6768999999999</v>
        <stp/>
        <stp>##V3_BDHV12</stp>
        <stp>AMZN US Equity</stp>
        <stp>NET_DEBT</stp>
        <stp>FQ2 2003</stp>
        <stp>FQ2 2003</stp>
        <stp>[FA1_j2ahgkxc.xlsx]Bal Sheet - Standardized!R65C20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5" s="3"/>
      </tp>
      <tp>
        <v>1495.1880000000001</v>
        <stp/>
        <stp>##V3_BDHV12</stp>
        <stp>AMZN US Equity</stp>
        <stp>NET_DEBT</stp>
        <stp>FQ1 2001</stp>
        <stp>FQ1 2001</stp>
        <stp>[FA1_j2ahgkxc.xlsx]Bal Sheet - Standardized!R65C11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5" s="3"/>
      </tp>
      <tp>
        <v>0</v>
        <stp/>
        <stp>##V3_BDHV12</stp>
        <stp>AMZN US Equity</stp>
        <stp>IS_TOT_CASH_COM_DVD</stp>
        <stp>FQ1 2008</stp>
        <stp>FQ1 2008</stp>
        <stp>[FA1_j2ahgkxc.xlsx]Income - Adjusted!R55C39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2"/>
      </tp>
      <tp>
        <v>-636</v>
        <stp/>
        <stp>##V3_BDHV12</stp>
        <stp>AMZN US Equity</stp>
        <stp>NET_DEBT</stp>
        <stp>FQ3 2007</stp>
        <stp>FQ3 2007</stp>
        <stp>[FA1_j2ahgkxc.xlsx]Bal Sheet - Standardized!R65C37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5" s="3"/>
      </tp>
      <tp>
        <v>613.66499999999996</v>
        <stp/>
        <stp>##V3_BDHV12</stp>
        <stp>AMZN US Equity</stp>
        <stp>NET_DEBT</stp>
        <stp>FQ2 2004</stp>
        <stp>FQ2 2004</stp>
        <stp>[FA1_j2ahgkxc.xlsx]Bal Sheet - Standardized!R65C24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5" s="3"/>
      </tp>
      <tp>
        <v>49</v>
        <stp/>
        <stp>##V3_BDHV12</stp>
        <stp>AMZN US Equity</stp>
        <stp>CF_INCR_CAP_STOCK</stp>
        <stp>FQ2 2008</stp>
        <stp>FQ2 2008</stp>
        <stp>[FA1_j2ahgkxc.xlsx]Cash Flow - Standardized!R34C40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4"/>
      </tp>
      <tp>
        <v>0</v>
        <stp/>
        <stp>##V3_BDHV12</stp>
        <stp>AMZN US Equity</stp>
        <stp>IS_TOT_CASH_PFD_DVD</stp>
        <stp>FQ4 1999</stp>
        <stp>FQ4 1999</stp>
        <stp>[FA1_j2ahgkxc.xlsx]Income - Adjusted!R27C7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2"/>
      </tp>
      <tp>
        <v>0</v>
        <stp/>
        <stp>##V3_BDHV12</stp>
        <stp>AMZN US Equity</stp>
        <stp>IS_TOT_CASH_PFD_DVD</stp>
        <stp>FQ1 2008</stp>
        <stp>FQ1 2008</stp>
        <stp>[FA1_j2ahgkxc.xlsx]Income - Adjusted!R27C39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2"/>
      </tp>
      <tp>
        <v>17.491</v>
        <stp/>
        <stp>##V3_BDHV12</stp>
        <stp>AMZN US Equity</stp>
        <stp>CF_INCR_CAP_STOCK</stp>
        <stp>FQ4 2004</stp>
        <stp>FQ4 2004</stp>
        <stp>[FA1_j2ahgkxc.xlsx]Cash Flow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4"/>
      </tp>
      <tp>
        <v>0</v>
        <stp/>
        <stp>##V3_BDHV12</stp>
        <stp>AMZN US Equity</stp>
        <stp>IS_TOT_CASH_PFD_DVD</stp>
        <stp>FQ4 1998</stp>
        <stp>FQ4 1998</stp>
        <stp>[FA1_j2ahgkxc.xlsx]Income - Adjusted!R27C3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2"/>
      </tp>
      <tp>
        <v>30.49</v>
        <stp/>
        <stp>##V3_BDHV12</stp>
        <stp>AMZN US Equity</stp>
        <stp>CF_INCR_CAP_STOCK</stp>
        <stp>FQ4 2003</stp>
        <stp>FQ4 2003</stp>
        <stp>[FA1_j2ahgkxc.xlsx]Cash Flow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4"/>
      </tp>
      <tp>
        <v>24</v>
        <stp/>
        <stp>##V3_BDHV12</stp>
        <stp>AMZN US Equity</stp>
        <stp>CFF_ACTIVITIES_DETAILED</stp>
        <stp>FQ3 2005</stp>
        <stp>FQ3 2005</stp>
        <stp>[FA1_j2ahgkxc.xlsx]Cash Flow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4"/>
      </tp>
      <tp>
        <v>87</v>
        <stp/>
        <stp>##V3_BDHV12</stp>
        <stp>AMZN US Equity</stp>
        <stp>CFF_ACTIVITIES_DETAILED</stp>
        <stp>FQ2 2006</stp>
        <stp>FQ2 2006</stp>
        <stp>[FA1_j2ahgkxc.xlsx]Cash Flow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4"/>
      </tp>
      <tp>
        <v>47.884999999999998</v>
        <stp/>
        <stp>##V3_BDHV12</stp>
        <stp>AMZN US Equity</stp>
        <stp>CFF_ACTIVITIES_DETAILED</stp>
        <stp>FQ3 2003</stp>
        <stp>FQ3 2003</stp>
        <stp>[FA1_j2ahgkxc.xlsx]Cash Flow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4"/>
      </tp>
      <tp>
        <v>13.294</v>
        <stp/>
        <stp>##V3_BDHV12</stp>
        <stp>AMZN US Equity</stp>
        <stp>CFF_ACTIVITIES_DETAILED</stp>
        <stp>FQ3 2004</stp>
        <stp>FQ3 2004</stp>
        <stp>[FA1_j2ahgkxc.xlsx]Cash Flow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4"/>
      </tp>
      <tp>
        <v>427</v>
        <stp/>
        <stp>##V3_BDHV12</stp>
        <stp>AMZN US Equity</stp>
        <stp>IS_AVG_NUM_SH_FOR_EPS</stp>
        <stp>FQ3 2008</stp>
        <stp>FQ3 2008</stp>
        <stp>[FA1_j2ahgkxc.xlsx]Income - Adjusted!R34C41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4" s="2"/>
      </tp>
      <tp>
        <v>45</v>
        <stp/>
        <stp>##V3_BDHV12</stp>
        <stp>AMZN US Equity</stp>
        <stp>CFF_ACTIVITIES_DETAILED</stp>
        <stp>FQ2 2007</stp>
        <stp>FQ2 2007</stp>
        <stp>[FA1_j2ahgkxc.xlsx]Cash Flow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4"/>
      </tp>
      <tp>
        <v>-308.42500000000001</v>
        <stp/>
        <stp>##V3_BDHV12</stp>
        <stp>AMZN US Equity</stp>
        <stp>EARN_FOR_COMMON</stp>
        <stp>FQ1 2000</stp>
        <stp>FQ1 2000</stp>
        <stp>[FA1_j2ahgkxc.xlsx]Income - Adjusted!R31C8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31" s="2"/>
      </tp>
      <tp>
        <v>0.75409999999999999</v>
        <stp/>
        <stp>##V3_BDHV12</stp>
        <stp>AMZN US Equity</stp>
        <stp>FREE_CASH_FLOW_PER_SH</stp>
        <stp>FQ3 2008</stp>
        <stp>FQ3 2008</stp>
        <stp>[FA1_j2ahgkxc.xlsx]Per Share!R23C41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3" s="5"/>
      </tp>
      <tp>
        <v>-7</v>
        <stp/>
        <stp>##V3_BDHV12</stp>
        <stp>AMZN US Equity</stp>
        <stp>IS_NET_INTEREST_EXPENSE</stp>
        <stp>FQ4 2007</stp>
        <stp>FQ4 2007</stp>
        <stp>[FA1_j2ahgkxc.xlsx]Income - Adjusted!R13C38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3" s="2"/>
      </tp>
      <tp>
        <v>118</v>
        <stp/>
        <stp>##V3_BDHV12</stp>
        <stp>AMZN US Equity</stp>
        <stp>EARN_FOR_COMMON</stp>
        <stp>FQ3 2008</stp>
        <stp>FQ3 2008</stp>
        <stp>[FA1_j2ahgkxc.xlsx]Income - Adjusted!R31C41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31" s="2"/>
      </tp>
      <tp>
        <v>313.79399999999998</v>
        <stp/>
        <stp>##V3_BDHV12</stp>
        <stp>AMZN US Equity</stp>
        <stp>IS_AVG_NUM_SH_FOR_EPS</stp>
        <stp>FQ1 1999</stp>
        <stp>FQ1 1999</stp>
        <stp>[FA1_j2ahgkxc.xlsx]Per Share!R8C4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5"/>
      </tp>
      <tp>
        <v>332.488</v>
        <stp/>
        <stp>##V3_BDHV12</stp>
        <stp>AMZN US Equity</stp>
        <stp>IS_AVG_NUM_SH_FOR_EPS</stp>
        <stp>FQ3 1999</stp>
        <stp>FQ3 1999</stp>
        <stp>[FA1_j2ahgkxc.xlsx]Per Share!R8C6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5"/>
      </tp>
      <tp>
        <v>0</v>
        <stp/>
        <stp>##V3_BDHV12</stp>
        <stp>AMZN US Equity</stp>
        <stp>EQY_DPS</stp>
        <stp>FQ1 2002</stp>
        <stp>FQ1 2002</stp>
        <stp>[FA1_j2ahgkxc.xlsx]Per Share!R20C15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0" s="5"/>
      </tp>
      <tp>
        <v>0</v>
        <stp/>
        <stp>##V3_BDHV12</stp>
        <stp>AMZN US Equity</stp>
        <stp>EQY_DPS</stp>
        <stp>FQ1 2004</stp>
        <stp>FQ1 2004</stp>
        <stp>[FA1_j2ahgkxc.xlsx]Per Share!R20C23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0" s="5"/>
      </tp>
      <tp>
        <v>0</v>
        <stp/>
        <stp>##V3_BDHV12</stp>
        <stp>AMZN US Equity</stp>
        <stp>EQY_DPS</stp>
        <stp>FQ1 2006</stp>
        <stp>FQ1 2006</stp>
        <stp>[FA1_j2ahgkxc.xlsx]Per Share!R20C31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0" s="5"/>
      </tp>
      <tp>
        <v>196</v>
        <stp/>
        <stp>##V3_BDHV12</stp>
        <stp>AMZN US Equity</stp>
        <stp>EBITA</stp>
        <stp>FQ4 2006</stp>
        <stp>FQ4 2006</stp>
        <stp>[FA1_j2ahgkxc.xlsx]Income - Adjusted!R48C34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8" s="2"/>
      </tp>
      <tp>
        <v>169.59200000000001</v>
        <stp/>
        <stp>##V3_BDHV12</stp>
        <stp>AMZN US Equity</stp>
        <stp>EBITA</stp>
        <stp>FQ4 2004</stp>
        <stp>FQ4 2004</stp>
        <stp>[FA1_j2ahgkxc.xlsx]Income - Adjusted!R48C26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8" s="2"/>
      </tp>
      <tp>
        <v>51.930999999999997</v>
        <stp/>
        <stp>##V3_BDHV12</stp>
        <stp>AMZN US Equity</stp>
        <stp>EBITA</stp>
        <stp>FQ3 2003</stp>
        <stp>FQ3 2003</stp>
        <stp>[FA1_j2ahgkxc.xlsx]Income - Adjusted!R48C21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8" s="2"/>
      </tp>
      <tp>
        <v>-24.504999999999999</v>
        <stp/>
        <stp>##V3_BDHV12</stp>
        <stp>AMZN US Equity</stp>
        <stp>EBITA</stp>
        <stp>FQ3 2001</stp>
        <stp>FQ3 2001</stp>
        <stp>[FA1_j2ahgkxc.xlsx]Income - Adjusted!R48C13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8" s="2"/>
      </tp>
      <tp>
        <v>145</v>
        <stp/>
        <stp>##V3_BDHV12</stp>
        <stp>AMZN US Equity</stp>
        <stp>EBITA</stp>
        <stp>FQ1 2007</stp>
        <stp>FQ1 2007</stp>
        <stp>[FA1_j2ahgkxc.xlsx]Income - Adjusted!R48C35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8" s="2"/>
      </tp>
      <tp>
        <v>108</v>
        <stp/>
        <stp>##V3_BDHV12</stp>
        <stp>AMZN US Equity</stp>
        <stp>EBITA</stp>
        <stp>FQ1 2005</stp>
        <stp>FQ1 2005</stp>
        <stp>[FA1_j2ahgkxc.xlsx]Income - Adjusted!R48C27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8" s="2"/>
      </tp>
      <tp>
        <v>-410.06</v>
        <stp/>
        <stp>##V3_BDHV12</stp>
        <stp>AMZN US Equity</stp>
        <stp>OTHER_INS_RES_TO_SHRHLDR_EQY</stp>
        <stp>FQ2 1999</stp>
        <stp>FQ2 1999</stp>
        <stp>[FA1_j2ahgkxc.xlsx]Bal Sheet - Standardized!R51C5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1" s="3"/>
      </tp>
      <tp>
        <v>-162.97800000000001</v>
        <stp/>
        <stp>##V3_BDHV12</stp>
        <stp>AMZN US Equity</stp>
        <stp>OTHER_INS_RES_TO_SHRHLDR_EQY</stp>
        <stp>FQ4 1998</stp>
        <stp>FQ4 1998</stp>
        <stp>[FA1_j2ahgkxc.xlsx]Bal Sheet - Standardized!R51C3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1" s="3"/>
      </tp>
      <tp>
        <v>7</v>
        <stp/>
        <stp>##V3_BDHV12</stp>
        <stp>AMZN US Equity</stp>
        <stp>OTHER_INS_RES_TO_SHRHLDR_EQY</stp>
        <stp>FQ1 2008</stp>
        <stp>FQ1 2008</stp>
        <stp>[FA1_j2ahgkxc.xlsx]Bal Sheet - Standardized!R51C39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1" s="3"/>
      </tp>
      <tp t="s">
        <v>—</v>
        <stp/>
        <stp>##V3_BDHV12</stp>
        <stp>AMZN US Equity</stp>
        <stp>BS_CURR_RENTAL_EXPENSE</stp>
        <stp>FQ3 1999</stp>
        <stp>FQ3 1999</stp>
        <stp>[FA1_j2ahgkxc.xlsx]Income - Adjusted!R58C6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8" s="2"/>
      </tp>
      <tp>
        <v>61.973999999999997</v>
        <stp/>
        <stp>##V3_BDHV12</stp>
        <stp>AMZN US Equity</stp>
        <stp>NON_CASH_ITEMS_DETAILED</stp>
        <stp>FQ2 1999</stp>
        <stp>FQ2 1999</stp>
        <stp>[FA1_j2ahgkxc.xlsx]Cash Flow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4"/>
      </tp>
      <tp>
        <v>29.373999999999999</v>
        <stp/>
        <stp>##V3_BDHV12</stp>
        <stp>AMZN US Equity</stp>
        <stp>NON_CASH_ITEMS_DETAILED</stp>
        <stp>FQ3 1999</stp>
        <stp>FQ3 1999</stp>
        <stp>[FA1_j2ahgkxc.xlsx]Cash Flow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-21.032</v>
        <stp/>
        <stp>##V3_BDHV12</stp>
        <stp>AMZN US Equity</stp>
        <stp>NON_CASH_ITEMS_DETAILED</stp>
        <stp>FQ4 1999</stp>
        <stp>FQ4 1999</stp>
        <stp>[FA1_j2ahgkxc.xlsx]Cash Flow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4"/>
      </tp>
      <tp t="s">
        <v>—</v>
        <stp/>
        <stp>##V3_BDHV12</stp>
        <stp>AMZN US Equity</stp>
        <stp>BS_CURR_RENTAL_EXPENSE</stp>
        <stp>FQ3 2000</stp>
        <stp>FQ3 2000</stp>
        <stp>[FA1_j2ahgkxc.xlsx]Income - Adjusted!R58C9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8" s="2"/>
      </tp>
      <tp>
        <v>46.546999999999997</v>
        <stp/>
        <stp>##V3_BDHV12</stp>
        <stp>AMZN US Equity</stp>
        <stp>NON_CASH_ITEMS_DETAILED</stp>
        <stp>FQ1 1999</stp>
        <stp>FQ1 1999</stp>
        <stp>[FA1_j2ahgkxc.xlsx]Cash Flow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111</v>
        <stp/>
        <stp>##V3_BDHV12</stp>
        <stp>AMZN US Equity</stp>
        <stp>NET_DEBT</stp>
        <stp>FQ3 2005</stp>
        <stp>FQ3 2005</stp>
        <stp>[FA1_j2ahgkxc.xlsx]Bal Sheet - Standardized!R65C29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5" s="3"/>
      </tp>
      <tp t="s">
        <v>—</v>
        <stp/>
        <stp>##V3_BDHV12</stp>
        <stp>AMZN US Equity</stp>
        <stp>CF_TAX_BENEFIT_FRM_STOCK_OPTIONS</stp>
        <stp>FQ4 2002</stp>
        <stp>FQ4 2002</stp>
        <stp>[FA1_j2ahgkxc.xlsx]Cash Flow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4"/>
      </tp>
      <tp t="s">
        <v>—</v>
        <stp/>
        <stp>##V3_BDHV12</stp>
        <stp>AMZN US Equity</stp>
        <stp>CF_TAX_BENEFIT_FRM_STOCK_OPTIONS</stp>
        <stp>FQ4 2000</stp>
        <stp>FQ4 2000</stp>
        <stp>[FA1_j2ahgkxc.xlsx]Cash Flow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4"/>
      </tp>
      <tp>
        <v>-52</v>
        <stp/>
        <stp>##V3_BDHV12</stp>
        <stp>AMZN US Equity</stp>
        <stp>NET_DEBT</stp>
        <stp>FQ2 2006</stp>
        <stp>FQ2 2006</stp>
        <stp>[FA1_j2ahgkxc.xlsx]Bal Sheet - Standardized!R65C32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5" s="3"/>
      </tp>
      <tp t="s">
        <v>—</v>
        <stp/>
        <stp>##V3_BDHV12</stp>
        <stp>AMZN US Equity</stp>
        <stp>CF_TAX_BENEFIT_FRM_STOCK_OPTIONS</stp>
        <stp>FQ4 2001</stp>
        <stp>FQ4 2001</stp>
        <stp>[FA1_j2ahgkxc.xlsx]Cash Flow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4"/>
      </tp>
      <tp>
        <v>1022.367</v>
        <stp/>
        <stp>##V3_BDHV12</stp>
        <stp>AMZN US Equity</stp>
        <stp>NET_DEBT</stp>
        <stp>FQ3 2003</stp>
        <stp>FQ3 2003</stp>
        <stp>[FA1_j2ahgkxc.xlsx]Bal Sheet - Standardized!R65C21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5" s="3"/>
      </tp>
      <tp>
        <v>-393</v>
        <stp/>
        <stp>##V3_BDHV12</stp>
        <stp>AMZN US Equity</stp>
        <stp>NET_DEBT</stp>
        <stp>FQ2 2007</stp>
        <stp>FQ2 2007</stp>
        <stp>[FA1_j2ahgkxc.xlsx]Bal Sheet - Standardized!R65C36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5" s="3"/>
      </tp>
      <tp>
        <v>597.47410000000002</v>
        <stp/>
        <stp>##V3_BDHV12</stp>
        <stp>AMZN US Equity</stp>
        <stp>NET_DEBT</stp>
        <stp>FQ3 2004</stp>
        <stp>FQ3 2004</stp>
        <stp>[FA1_j2ahgkxc.xlsx]Bal Sheet - Standardized!R65C25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5" s="3"/>
      </tp>
      <tp>
        <v>176</v>
        <stp/>
        <stp>##V3_BDHV12</stp>
        <stp>AMZN US Equity</stp>
        <stp>CF_INCR_CAP_STOCK</stp>
        <stp>FQ4 2007</stp>
        <stp>FQ4 2007</stp>
        <stp>[FA1_j2ahgkxc.xlsx]Cash Flow - Standardized!R34C38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4"/>
      </tp>
      <tp>
        <v>55</v>
        <stp/>
        <stp>##V3_BDHV12</stp>
        <stp>AMZN US Equity</stp>
        <stp>CF_INCR_CAP_STOCK</stp>
        <stp>FQ3 2008</stp>
        <stp>FQ3 2008</stp>
        <stp>[FA1_j2ahgkxc.xlsx]Cash Flow - Standardized!R34C41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4"/>
      </tp>
      <tp>
        <v>-105.196</v>
        <stp/>
        <stp>##V3_BDHV12</stp>
        <stp>AMZN US Equity</stp>
        <stp>ACQUIS_FXD_&amp;_INTANG_DETAILED</stp>
        <stp>FQ4 1999</stp>
        <stp>FQ4 1999</stp>
        <stp>[FA1_j2ahgkxc.xlsx]Cash Flow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4"/>
      </tp>
      <tp>
        <v>-19.062000000000001</v>
        <stp/>
        <stp>##V3_BDHV12</stp>
        <stp>AMZN US Equity</stp>
        <stp>ACQUIS_FXD_&amp;_INTANG_DETAILED</stp>
        <stp>FQ1 1999</stp>
        <stp>FQ1 1999</stp>
        <stp>[FA1_j2ahgkxc.xlsx]Cash Flow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4"/>
      </tp>
      <tp>
        <v>25</v>
        <stp/>
        <stp>##V3_BDHV12</stp>
        <stp>AMZN US Equity</stp>
        <stp>CF_INCR_CAP_STOCK</stp>
        <stp>FQ4 2005</stp>
        <stp>FQ4 2005</stp>
        <stp>[FA1_j2ahgkxc.xlsx]Cash Flow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4"/>
      </tp>
      <tp>
        <v>-70.762</v>
        <stp/>
        <stp>##V3_BDHV12</stp>
        <stp>AMZN US Equity</stp>
        <stp>ACQUIS_FXD_&amp;_INTANG_DETAILED</stp>
        <stp>FQ3 1999</stp>
        <stp>FQ3 1999</stp>
        <stp>[FA1_j2ahgkxc.xlsx]Cash Flow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4"/>
      </tp>
      <tp>
        <v>-92.034999999999997</v>
        <stp/>
        <stp>##V3_BDHV12</stp>
        <stp>AMZN US Equity</stp>
        <stp>ACQUIS_FXD_&amp;_INTANG_DETAILED</stp>
        <stp>FQ2 1999</stp>
        <stp>FQ2 1999</stp>
        <stp>[FA1_j2ahgkxc.xlsx]Cash Flow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4"/>
      </tp>
      <tp>
        <v>82</v>
        <stp/>
        <stp>##V3_BDHV12</stp>
        <stp>AMZN US Equity</stp>
        <stp>CF_INCR_CAP_STOCK</stp>
        <stp>FQ4 2006</stp>
        <stp>FQ4 2006</stp>
        <stp>[FA1_j2ahgkxc.xlsx]Cash Flow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4"/>
      </tp>
      <tp>
        <v>-87</v>
        <stp/>
        <stp>##V3_BDHV12</stp>
        <stp>AMZN US Equity</stp>
        <stp>CFF_ACTIVITIES_DETAILED</stp>
        <stp>FQ4 2008</stp>
        <stp>FQ4 2008</stp>
        <stp>[FA1_j2ahgkxc.xlsx]Cash Flow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4"/>
      </tp>
      <tp>
        <v>-4</v>
        <stp/>
        <stp>##V3_BDHV12</stp>
        <stp>AMZN US Equity</stp>
        <stp>CFF_ACTIVITIES_DETAILED</stp>
        <stp>FQ2 2005</stp>
        <stp>FQ2 2005</stp>
        <stp>[FA1_j2ahgkxc.xlsx]Cash Flow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4"/>
      </tp>
      <tp t="s">
        <v>—</v>
        <stp/>
        <stp>##V3_BDHV12</stp>
        <stp>AMZN US Equity</stp>
        <stp>IS_SG&amp;A_EXPENSE</stp>
        <stp>FQ1 2002</stp>
        <stp>FQ1 2002</stp>
        <stp>[FA1_j2ahgkxc.xlsx]Income - Adjusted!R10C15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 t="s">
        <v>—</v>
        <stp/>
        <stp>##V3_BDHV12</stp>
        <stp>AMZN US Equity</stp>
        <stp>IS_SG&amp;A_EXPENSE</stp>
        <stp>FQ1 2004</stp>
        <stp>FQ1 2004</stp>
        <stp>[FA1_j2ahgkxc.xlsx]Income - Adjusted!R10C23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 t="s">
        <v>—</v>
        <stp/>
        <stp>##V3_BDHV12</stp>
        <stp>AMZN US Equity</stp>
        <stp>IS_SG&amp;A_EXPENSE</stp>
        <stp>FQ1 2006</stp>
        <stp>FQ1 2006</stp>
        <stp>[FA1_j2ahgkxc.xlsx]Income - Adjusted!R10C31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>
        <v>39.795000000000002</v>
        <stp/>
        <stp>##V3_BDHV12</stp>
        <stp>AMZN US Equity</stp>
        <stp>CFF_ACTIVITIES_DETAILED</stp>
        <stp>FQ1 2003</stp>
        <stp>FQ1 2003</stp>
        <stp>[FA1_j2ahgkxc.xlsx]Cash Flow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4"/>
      </tp>
      <tp>
        <v>-5.3999999999999999E-2</v>
        <stp/>
        <stp>##V3_BDHV12</stp>
        <stp>AMZN US Equity</stp>
        <stp>CFF_ACTIVITIES_DETAILED</stp>
        <stp>FQ1 2002</stp>
        <stp>FQ1 2002</stp>
        <stp>[FA1_j2ahgkxc.xlsx]Cash Flow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4"/>
      </tp>
      <tp>
        <v>-267</v>
        <stp/>
        <stp>##V3_BDHV12</stp>
        <stp>AMZN US Equity</stp>
        <stp>CFF_ACTIVITIES_DETAILED</stp>
        <stp>FQ3 2006</stp>
        <stp>FQ3 2006</stp>
        <stp>[FA1_j2ahgkxc.xlsx]Cash Flow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4"/>
      </tp>
      <tp>
        <v>-13.058</v>
        <stp/>
        <stp>##V3_BDHV12</stp>
        <stp>AMZN US Equity</stp>
        <stp>CFF_ACTIVITIES_DETAILED</stp>
        <stp>FQ1 2001</stp>
        <stp>FQ1 2001</stp>
        <stp>[FA1_j2ahgkxc.xlsx]Cash Flow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4"/>
      </tp>
      <tp>
        <v>-213.73699999999999</v>
        <stp/>
        <stp>##V3_BDHV12</stp>
        <stp>AMZN US Equity</stp>
        <stp>CFF_ACTIVITIES_DETAILED</stp>
        <stp>FQ2 2003</stp>
        <stp>FQ2 2003</stp>
        <stp>[FA1_j2ahgkxc.xlsx]Cash Flow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4"/>
      </tp>
      <tp>
        <v>11.816000000000001</v>
        <stp/>
        <stp>##V3_BDHV12</stp>
        <stp>AMZN US Equity</stp>
        <stp>CFF_ACTIVITIES_DETAILED</stp>
        <stp>FQ2 2004</stp>
        <stp>FQ2 2004</stp>
        <stp>[FA1_j2ahgkxc.xlsx]Cash Flow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4"/>
      </tp>
      <tp>
        <v>420</v>
        <stp/>
        <stp>##V3_BDHV12</stp>
        <stp>AMZN US Equity</stp>
        <stp>IS_AVG_NUM_SH_FOR_EPS</stp>
        <stp>FQ2 2008</stp>
        <stp>FQ2 2008</stp>
        <stp>[FA1_j2ahgkxc.xlsx]Income - Adjusted!R34C40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4" s="2"/>
      </tp>
      <tp>
        <v>91</v>
        <stp/>
        <stp>##V3_BDHV12</stp>
        <stp>AMZN US Equity</stp>
        <stp>CFF_ACTIVITIES_DETAILED</stp>
        <stp>FQ3 2007</stp>
        <stp>FQ3 2007</stp>
        <stp>[FA1_j2ahgkxc.xlsx]Cash Flow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4"/>
      </tp>
      <tp>
        <v>0.66190000000000004</v>
        <stp/>
        <stp>##V3_BDHV12</stp>
        <stp>AMZN US Equity</stp>
        <stp>FREE_CASH_FLOW_PER_SH</stp>
        <stp>FQ2 2008</stp>
        <stp>FQ2 2008</stp>
        <stp>[FA1_j2ahgkxc.xlsx]Per Share!R23C40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3" s="5"/>
      </tp>
      <tp>
        <v>158</v>
        <stp/>
        <stp>##V3_BDHV12</stp>
        <stp>AMZN US Equity</stp>
        <stp>EARN_FOR_COMMON</stp>
        <stp>FQ2 2008</stp>
        <stp>FQ2 2008</stp>
        <stp>[FA1_j2ahgkxc.xlsx]Income - Adjusted!R31C40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31" s="2"/>
      </tp>
      <tp>
        <v>0.5</v>
        <stp/>
        <stp>##V3_BDHV12</stp>
        <stp>AMZN US Equity</stp>
        <stp>IS_BASIC_EPS_CONT_OPS</stp>
        <stp>FQ4 2007</stp>
        <stp>FQ4 2007</stp>
        <stp>[FA1_j2ahgkxc.xlsx]Per Share!R16C38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6" s="5"/>
      </tp>
      <tp>
        <v>-30.36</v>
        <stp/>
        <stp>##V3_BDHV12</stp>
        <stp>AMZN US Equity</stp>
        <stp>EBITA</stp>
        <stp>FQ2 2001</stp>
        <stp>FQ2 2001</stp>
        <stp>[FA1_j2ahgkxc.xlsx]Income - Adjusted!R48C12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8" s="2"/>
      </tp>
      <tp>
        <v>41.823</v>
        <stp/>
        <stp>##V3_BDHV12</stp>
        <stp>AMZN US Equity</stp>
        <stp>EBITA</stp>
        <stp>FQ2 2003</stp>
        <stp>FQ2 2003</stp>
        <stp>[FA1_j2ahgkxc.xlsx]Income - Adjusted!R48C20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8" s="2"/>
      </tp>
      <tp t="s">
        <v>—</v>
        <stp/>
        <stp>##V3_BDHV12</stp>
        <stp>AMZN US Equity</stp>
        <stp>BS_CURR_RENTAL_EXPENSE</stp>
        <stp>FQ2 1999</stp>
        <stp>FQ2 1999</stp>
        <stp>[FA1_j2ahgkxc.xlsx]Income - Adjusted!R58C5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8" s="2"/>
      </tp>
      <tp>
        <v>21.507100000000001</v>
        <stp/>
        <stp>##V3_BDHV12</stp>
        <stp>AMZN US Equity</stp>
        <stp>OTHER_INS_RES_TO_SHRHLDR_EQY</stp>
        <stp>FQ2 2003</stp>
        <stp>FQ2 2003</stp>
        <stp>[FA1_j2ahgkxc.xlsx]Bal Sheet - Standardized!R51C20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1" s="3"/>
      </tp>
      <tp>
        <v>33.2361</v>
        <stp/>
        <stp>##V3_BDHV12</stp>
        <stp>AMZN US Equity</stp>
        <stp>OTHER_INS_RES_TO_SHRHLDR_EQY</stp>
        <stp>FQ3 2003</stp>
        <stp>FQ3 2003</stp>
        <stp>[FA1_j2ahgkxc.xlsx]Bal Sheet - Standardized!R51C21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1" s="3"/>
      </tp>
      <tp>
        <v>-47.74</v>
        <stp/>
        <stp>##V3_BDHV12</stp>
        <stp>AMZN US Equity</stp>
        <stp>OTHER_INS_RES_TO_SHRHLDR_EQY</stp>
        <stp>FQ3 2001</stp>
        <stp>FQ3 2001</stp>
        <stp>[FA1_j2ahgkxc.xlsx]Bal Sheet - Standardized!R51C13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1" s="3"/>
      </tp>
      <tp>
        <v>-2789.7689999999998</v>
        <stp/>
        <stp>##V3_BDHV12</stp>
        <stp>AMZN US Equity</stp>
        <stp>OTHER_INS_RES_TO_SHRHLDR_EQY</stp>
        <stp>FQ2 2001</stp>
        <stp>FQ2 2001</stp>
        <stp>[FA1_j2ahgkxc.xlsx]Bal Sheet - Standardized!R51C12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1" s="3"/>
      </tp>
      <tp>
        <v>-2601.0819999999999</v>
        <stp/>
        <stp>##V3_BDHV12</stp>
        <stp>AMZN US Equity</stp>
        <stp>OTHER_INS_RES_TO_SHRHLDR_EQY</stp>
        <stp>FQ1 2001</stp>
        <stp>FQ1 2001</stp>
        <stp>[FA1_j2ahgkxc.xlsx]Bal Sheet - Standardized!R51C11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1" s="3"/>
      </tp>
      <tp>
        <v>-2906.5010000000002</v>
        <stp/>
        <stp>##V3_BDHV12</stp>
        <stp>AMZN US Equity</stp>
        <stp>OTHER_INS_RES_TO_SHRHLDR_EQY</stp>
        <stp>FQ4 2001</stp>
        <stp>FQ4 2001</stp>
        <stp>[FA1_j2ahgkxc.xlsx]Bal Sheet - Standardized!R51C14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1" s="3"/>
      </tp>
      <tp>
        <v>-0.21779999999999999</v>
        <stp/>
        <stp>##V3_BDHV12</stp>
        <stp>AMZN US Equity</stp>
        <stp>FREE_CASH_FLOW_PER_SH</stp>
        <stp>FQ4 1999</stp>
        <stp>FQ4 1999</stp>
        <stp>[FA1_j2ahgkxc.xlsx]Cash Flow - Standardized!R52C6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2" s="4"/>
      </tp>
      <tp>
        <v>6</v>
        <stp/>
        <stp>##V3_BDHV12</stp>
        <stp>AMZN US Equity</stp>
        <stp>OTHER_INS_RES_TO_SHRHLDR_EQY</stp>
        <stp>FQ4 2005</stp>
        <stp>FQ4 2005</stp>
        <stp>[FA1_j2ahgkxc.xlsx]Bal Sheet - Standardized!R51C30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1" s="3"/>
      </tp>
      <tp>
        <v>-0.11550000000000001</v>
        <stp/>
        <stp>##V3_BDHV12</stp>
        <stp>AMZN US Equity</stp>
        <stp>FREE_CASH_FLOW_PER_SH</stp>
        <stp>FQ1 1999</stp>
        <stp>FQ1 1999</stp>
        <stp>[FA1_j2ahgkxc.xlsx]Cash Flow - Standardized!R52C3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2" s="4"/>
      </tp>
      <tp>
        <v>0</v>
        <stp/>
        <stp>##V3_BDHV12</stp>
        <stp>AMZN US Equity</stp>
        <stp>IS_TOT_CASH_COM_DVD</stp>
        <stp>FQ4 2008</stp>
        <stp>FQ4 2008</stp>
        <stp>[FA1_j2ahgkxc.xlsx]Income - Adjusted!R55C42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2"/>
      </tp>
      <tp>
        <v>43</v>
        <stp/>
        <stp>##V3_BDHV12</stp>
        <stp>AMZN US Equity</stp>
        <stp>CF_TAX_BENEFIT_FRM_STOCK_OPTIONS</stp>
        <stp>FQ2 2008</stp>
        <stp>FQ2 2008</stp>
        <stp>[FA1_j2ahgkxc.xlsx]Cash Flow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4"/>
      </tp>
      <tp t="s">
        <v>—</v>
        <stp/>
        <stp>##V3_BDHV12</stp>
        <stp>AMZN US Equity</stp>
        <stp>CF_TAX_BENEFIT_FRM_STOCK_OPTIONS</stp>
        <stp>FQ4 2003</stp>
        <stp>FQ4 2003</stp>
        <stp>[FA1_j2ahgkxc.xlsx]Cash Flow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4"/>
      </tp>
      <tp t="s">
        <v>—</v>
        <stp/>
        <stp>##V3_BDHV12</stp>
        <stp>AMZN US Equity</stp>
        <stp>CF_TAX_BENEFIT_FRM_STOCK_OPTIONS</stp>
        <stp>FQ4 2004</stp>
        <stp>FQ4 2004</stp>
        <stp>[FA1_j2ahgkxc.xlsx]Cash Flow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4"/>
      </tp>
      <tp>
        <v>-73</v>
        <stp/>
        <stp>##V3_BDHV12</stp>
        <stp>AMZN US Equity</stp>
        <stp>NET_DEBT</stp>
        <stp>FQ1 2006</stp>
        <stp>FQ1 2006</stp>
        <stp>[FA1_j2ahgkxc.xlsx]Bal Sheet - Standardized!R65C31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5" s="3"/>
      </tp>
      <tp>
        <v>1412.1780000000001</v>
        <stp/>
        <stp>##V3_BDHV12</stp>
        <stp>AMZN US Equity</stp>
        <stp>NET_DEBT</stp>
        <stp>FQ3 2002</stp>
        <stp>FQ3 2002</stp>
        <stp>[FA1_j2ahgkxc.xlsx]Bal Sheet - Standardized!R65C17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5" s="3"/>
      </tp>
      <tp>
        <v>1520.1179999999999</v>
        <stp/>
        <stp>##V3_BDHV12</stp>
        <stp>AMZN US Equity</stp>
        <stp>NET_DEBT</stp>
        <stp>FQ3 2001</stp>
        <stp>FQ3 2001</stp>
        <stp>[FA1_j2ahgkxc.xlsx]Bal Sheet - Standardized!R65C13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5" s="3"/>
      </tp>
      <tp>
        <v>-778</v>
        <stp/>
        <stp>##V3_BDHV12</stp>
        <stp>AMZN US Equity</stp>
        <stp>NET_DEBT</stp>
        <stp>FQ1 2008</stp>
        <stp>FQ1 2008</stp>
        <stp>[FA1_j2ahgkxc.xlsx]Bal Sheet - Standardized!R65C39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5" s="3"/>
      </tp>
      <tp>
        <v>-169</v>
        <stp/>
        <stp>##V3_BDHV12</stp>
        <stp>AMZN US Equity</stp>
        <stp>NET_DEBT</stp>
        <stp>FQ1 2007</stp>
        <stp>FQ1 2007</stp>
        <stp>[FA1_j2ahgkxc.xlsx]Bal Sheet - Standardized!R65C35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5" s="3"/>
      </tp>
      <tp>
        <v>0</v>
        <stp/>
        <stp>##V3_BDHV12</stp>
        <stp>AMZN US Equity</stp>
        <stp>IS_TOT_CASH_PFD_DVD</stp>
        <stp>FQ4 2008</stp>
        <stp>FQ4 2008</stp>
        <stp>[FA1_j2ahgkxc.xlsx]Income - Adjusted!R27C42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2"/>
      </tp>
      <tp t="s">
        <v>—</v>
        <stp/>
        <stp>##V3_BDHV12</stp>
        <stp>AMZN US Equity</stp>
        <stp>IS_SG&amp;A_EXPENSE</stp>
        <stp>FQ2 2002</stp>
        <stp>FQ2 2002</stp>
        <stp>[FA1_j2ahgkxc.xlsx]Income - Adjusted!R10C16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 t="s">
        <v>—</v>
        <stp/>
        <stp>##V3_BDHV12</stp>
        <stp>AMZN US Equity</stp>
        <stp>IS_SG&amp;A_EXPENSE</stp>
        <stp>FQ2 2006</stp>
        <stp>FQ2 2006</stp>
        <stp>[FA1_j2ahgkxc.xlsx]Income - Adjusted!R10C32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>
        <v>63.093000000000004</v>
        <stp/>
        <stp>##V3_BDHV12</stp>
        <stp>AMZN US Equity</stp>
        <stp>CFF_ACTIVITIES_DETAILED</stp>
        <stp>FQ2 2002</stp>
        <stp>FQ2 2002</stp>
        <stp>[FA1_j2ahgkxc.xlsx]Cash Flow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4"/>
      </tp>
      <tp>
        <v>-138.57400000000001</v>
        <stp/>
        <stp>##V3_BDHV12</stp>
        <stp>AMZN US Equity</stp>
        <stp>CFF_ACTIVITIES_DETAILED</stp>
        <stp>FQ1 2004</stp>
        <stp>FQ1 2004</stp>
        <stp>[FA1_j2ahgkxc.xlsx]Cash Flow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4"/>
      </tp>
      <tp>
        <v>-16.283000000000001</v>
        <stp/>
        <stp>##V3_BDHV12</stp>
        <stp>AMZN US Equity</stp>
        <stp>CFF_ACTIVITIES_DETAILED</stp>
        <stp>FQ2 2001</stp>
        <stp>FQ2 2001</stp>
        <stp>[FA1_j2ahgkxc.xlsx]Cash Flow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4"/>
      </tp>
      <tp>
        <v>-279</v>
        <stp/>
        <stp>##V3_BDHV12</stp>
        <stp>AMZN US Equity</stp>
        <stp>CFF_ACTIVITIES_DETAILED</stp>
        <stp>FQ1 2005</stp>
        <stp>FQ1 2005</stp>
        <stp>[FA1_j2ahgkxc.xlsx]Cash Flow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4"/>
      </tp>
      <tp>
        <v>13</v>
        <stp/>
        <stp>##V3_BDHV12</stp>
        <stp>AMZN US Equity</stp>
        <stp>IS_NET_INTEREST_EXPENSE</stp>
        <stp>FQ2 2005</stp>
        <stp>FQ2 2005</stp>
        <stp>[FA1_j2ahgkxc.xlsx]Income - Adjusted!R13C28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>
        <v>0.13</v>
        <stp/>
        <stp>##V3_BDHV12</stp>
        <stp>AMZN US Equity</stp>
        <stp>IS_BASIC_EPS_CONT_OPS</stp>
        <stp>FQ3 2005</stp>
        <stp>FQ3 2005</stp>
        <stp>[FA1_j2ahgkxc.xlsx]Per Share!R16C29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6" s="5"/>
      </tp>
      <tp>
        <v>308.77800000000002</v>
        <stp/>
        <stp>##V3_BDHV12</stp>
        <stp>AMZN US Equity</stp>
        <stp>IS_AVG_NUM_SH_FOR_EPS</stp>
        <stp>FQ4 1998</stp>
        <stp>FQ4 1998</stp>
        <stp>[FA1_j2ahgkxc.xlsx]Per Share!R8C3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5"/>
      </tp>
      <tp>
        <v>322.33999999999997</v>
        <stp/>
        <stp>##V3_BDHV12</stp>
        <stp>AMZN US Equity</stp>
        <stp>IS_AVG_NUM_SH_FOR_EPS</stp>
        <stp>FQ2 1999</stp>
        <stp>FQ2 1999</stp>
        <stp>[FA1_j2ahgkxc.xlsx]Per Share!R8C5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5"/>
      </tp>
      <tp>
        <v>3.4582999999999999</v>
        <stp/>
        <stp>##V3_BDHV12</stp>
        <stp>AMZN US Equity</stp>
        <stp>PROF_MARGIN</stp>
        <stp>FQ1 2008</stp>
        <stp>FQ1 2008</stp>
        <stp>[FA1_j2ahgkxc.xlsx]Income - Adjusted!R52C39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2" s="2"/>
      </tp>
      <tp>
        <v>3.6816</v>
        <stp/>
        <stp>##V3_BDHV12</stp>
        <stp>AMZN US Equity</stp>
        <stp>PROF_MARGIN</stp>
        <stp>FQ1 2007</stp>
        <stp>FQ1 2007</stp>
        <stp>[FA1_j2ahgkxc.xlsx]Income - Adjusted!R52C35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2" s="2"/>
      </tp>
      <tp>
        <v>2.2378</v>
        <stp/>
        <stp>##V3_BDHV12</stp>
        <stp>AMZN US Equity</stp>
        <stp>PROF_MARGIN</stp>
        <stp>FQ1 2006</stp>
        <stp>FQ1 2006</stp>
        <stp>[FA1_j2ahgkxc.xlsx]Income - Adjusted!R52C31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2" s="2"/>
      </tp>
      <tp>
        <v>7.2621000000000002</v>
        <stp/>
        <stp>##V3_BDHV12</stp>
        <stp>AMZN US Equity</stp>
        <stp>PROF_MARGIN</stp>
        <stp>FQ1 2004</stp>
        <stp>FQ1 2004</stp>
        <stp>[FA1_j2ahgkxc.xlsx]Income - Adjusted!R52C23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2" s="2"/>
      </tp>
      <tp>
        <v>4.1009000000000002</v>
        <stp/>
        <stp>##V3_BDHV12</stp>
        <stp>AMZN US Equity</stp>
        <stp>PROF_MARGIN</stp>
        <stp>FQ1 2005</stp>
        <stp>FQ1 2005</stp>
        <stp>[FA1_j2ahgkxc.xlsx]Income - Adjusted!R52C27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2" s="2"/>
      </tp>
      <tp>
        <v>-33.430300000000003</v>
        <stp/>
        <stp>##V3_BDHV12</stp>
        <stp>AMZN US Equity</stp>
        <stp>PROF_MARGIN</stp>
        <stp>FQ1 2001</stp>
        <stp>FQ1 2001</stp>
        <stp>[FA1_j2ahgkxc.xlsx]Income - Adjusted!R52C11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2" s="2"/>
      </tp>
      <tp>
        <v>-0.93410000000000004</v>
        <stp/>
        <stp>##V3_BDHV12</stp>
        <stp>AMZN US Equity</stp>
        <stp>PROF_MARGIN</stp>
        <stp>FQ1 2003</stp>
        <stp>FQ1 2003</stp>
        <stp>[FA1_j2ahgkxc.xlsx]Income - Adjusted!R52C19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2" s="2"/>
      </tp>
      <tp>
        <v>-2.7317999999999998</v>
        <stp/>
        <stp>##V3_BDHV12</stp>
        <stp>AMZN US Equity</stp>
        <stp>PROF_MARGIN</stp>
        <stp>FQ1 2002</stp>
        <stp>FQ1 2002</stp>
        <stp>[FA1_j2ahgkxc.xlsx]Income - Adjusted!R52C15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2" s="2"/>
      </tp>
      <tp>
        <v>2.7673999999999999</v>
        <stp/>
        <stp>##V3_BDHV12</stp>
        <stp>AMZN US Equity</stp>
        <stp>PROF_MARGIN</stp>
        <stp>FQ3 2008</stp>
        <stp>FQ3 2008</stp>
        <stp>[FA1_j2ahgkxc.xlsx]Income - Adjusted!R52C41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2" s="2"/>
      </tp>
      <tp>
        <v>3.7023999999999999</v>
        <stp/>
        <stp>##V3_BDHV12</stp>
        <stp>AMZN US Equity</stp>
        <stp>PROF_MARGIN</stp>
        <stp>FQ3 2004</stp>
        <stp>FQ3 2004</stp>
        <stp>[FA1_j2ahgkxc.xlsx]Income - Adjusted!R52C25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2" s="2"/>
      </tp>
      <tp>
        <v>1.6146</v>
        <stp/>
        <stp>##V3_BDHV12</stp>
        <stp>AMZN US Equity</stp>
        <stp>PROF_MARGIN</stp>
        <stp>FQ3 2005</stp>
        <stp>FQ3 2005</stp>
        <stp>[FA1_j2ahgkxc.xlsx]Income - Adjusted!R52C29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2" s="2"/>
      </tp>
      <tp>
        <v>2.4525000000000001</v>
        <stp/>
        <stp>##V3_BDHV12</stp>
        <stp>AMZN US Equity</stp>
        <stp>PROF_MARGIN</stp>
        <stp>FQ3 2007</stp>
        <stp>FQ3 2007</stp>
        <stp>[FA1_j2ahgkxc.xlsx]Income - Adjusted!R52C37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2" s="2"/>
      </tp>
      <tp>
        <v>0.8236</v>
        <stp/>
        <stp>##V3_BDHV12</stp>
        <stp>AMZN US Equity</stp>
        <stp>PROF_MARGIN</stp>
        <stp>FQ3 2006</stp>
        <stp>FQ3 2006</stp>
        <stp>[FA1_j2ahgkxc.xlsx]Income - Adjusted!R52C33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2" s="2"/>
      </tp>
      <tp>
        <v>-4.1208</v>
        <stp/>
        <stp>##V3_BDHV12</stp>
        <stp>AMZN US Equity</stp>
        <stp>PROF_MARGIN</stp>
        <stp>FQ3 2002</stp>
        <stp>FQ3 2002</stp>
        <stp>[FA1_j2ahgkxc.xlsx]Income - Adjusted!R52C17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2" s="2"/>
      </tp>
      <tp>
        <v>-26.572700000000001</v>
        <stp/>
        <stp>##V3_BDHV12</stp>
        <stp>AMZN US Equity</stp>
        <stp>PROF_MARGIN</stp>
        <stp>FQ3 2001</stp>
        <stp>FQ3 2001</stp>
        <stp>[FA1_j2ahgkxc.xlsx]Income - Adjusted!R52C13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2" s="2"/>
      </tp>
      <tp>
        <v>1.3717999999999999</v>
        <stp/>
        <stp>##V3_BDHV12</stp>
        <stp>AMZN US Equity</stp>
        <stp>PROF_MARGIN</stp>
        <stp>FQ3 2003</stp>
        <stp>FQ3 2003</stp>
        <stp>[FA1_j2ahgkxc.xlsx]Income - Adjusted!R52C21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2" s="2"/>
      </tp>
      <tp>
        <v>3.8887999999999998</v>
        <stp/>
        <stp>##V3_BDHV12</stp>
        <stp>AMZN US Equity</stp>
        <stp>PROF_MARGIN</stp>
        <stp>FQ2 2008</stp>
        <stp>FQ2 2008</stp>
        <stp>[FA1_j2ahgkxc.xlsx]Income - Adjusted!R52C40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2" s="2"/>
      </tp>
      <tp>
        <v>2.9662999999999999</v>
        <stp/>
        <stp>##V3_BDHV12</stp>
        <stp>AMZN US Equity</stp>
        <stp>PROF_MARGIN</stp>
        <stp>FQ2 2005</stp>
        <stp>FQ2 2005</stp>
        <stp>[FA1_j2ahgkxc.xlsx]Income - Adjusted!R52C28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2" s="2"/>
      </tp>
      <tp>
        <v>5.5126999999999997</v>
        <stp/>
        <stp>##V3_BDHV12</stp>
        <stp>AMZN US Equity</stp>
        <stp>PROF_MARGIN</stp>
        <stp>FQ2 2004</stp>
        <stp>FQ2 2004</stp>
        <stp>[FA1_j2ahgkxc.xlsx]Income - Adjusted!R52C24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2" s="2"/>
      </tp>
      <tp>
        <v>1.0285</v>
        <stp/>
        <stp>##V3_BDHV12</stp>
        <stp>AMZN US Equity</stp>
        <stp>PROF_MARGIN</stp>
        <stp>FQ2 2006</stp>
        <stp>FQ2 2006</stp>
        <stp>[FA1_j2ahgkxc.xlsx]Income - Adjusted!R52C32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2" s="2"/>
      </tp>
      <tp>
        <v>2.7027000000000001</v>
        <stp/>
        <stp>##V3_BDHV12</stp>
        <stp>AMZN US Equity</stp>
        <stp>PROF_MARGIN</stp>
        <stp>FQ2 2007</stp>
        <stp>FQ2 2007</stp>
        <stp>[FA1_j2ahgkxc.xlsx]Income - Adjusted!R52C36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2" s="2"/>
      </tp>
      <tp>
        <v>-11.6128</v>
        <stp/>
        <stp>##V3_BDHV12</stp>
        <stp>AMZN US Equity</stp>
        <stp>PROF_MARGIN</stp>
        <stp>FQ2 2002</stp>
        <stp>FQ2 2002</stp>
        <stp>[FA1_j2ahgkxc.xlsx]Income - Adjusted!R52C16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2" s="2"/>
      </tp>
      <tp>
        <v>-3.9379999999999997</v>
        <stp/>
        <stp>##V3_BDHV12</stp>
        <stp>AMZN US Equity</stp>
        <stp>PROF_MARGIN</stp>
        <stp>FQ2 2003</stp>
        <stp>FQ2 2003</stp>
        <stp>[FA1_j2ahgkxc.xlsx]Income - Adjusted!R52C20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2" s="2"/>
      </tp>
      <tp>
        <v>-25.217600000000001</v>
        <stp/>
        <stp>##V3_BDHV12</stp>
        <stp>AMZN US Equity</stp>
        <stp>PROF_MARGIN</stp>
        <stp>FQ2 2001</stp>
        <stp>FQ2 2001</stp>
        <stp>[FA1_j2ahgkxc.xlsx]Income - Adjusted!R52C12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2" s="2"/>
      </tp>
      <tp>
        <v>0</v>
        <stp/>
        <stp>##V3_BDHV12</stp>
        <stp>AMZN US Equity</stp>
        <stp>EQY_DPS</stp>
        <stp>FQ4 2005</stp>
        <stp>FQ4 2005</stp>
        <stp>[FA1_j2ahgkxc.xlsx]Per Share!R20C30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0" s="5"/>
      </tp>
      <tp>
        <v>0</v>
        <stp/>
        <stp>##V3_BDHV12</stp>
        <stp>AMZN US Equity</stp>
        <stp>EQY_DPS</stp>
        <stp>FQ4 2001</stp>
        <stp>FQ4 2001</stp>
        <stp>[FA1_j2ahgkxc.xlsx]Per Share!R20C14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0" s="5"/>
      </tp>
      <tp>
        <v>0</v>
        <stp/>
        <stp>##V3_BDHV12</stp>
        <stp>AMZN US Equity</stp>
        <stp>EQY_DPS</stp>
        <stp>FQ3 2002</stp>
        <stp>FQ3 2002</stp>
        <stp>[FA1_j2ahgkxc.xlsx]Per Share!R20C17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0" s="5"/>
      </tp>
      <tp>
        <v>0</v>
        <stp/>
        <stp>##V3_BDHV12</stp>
        <stp>AMZN US Equity</stp>
        <stp>EQY_DPS</stp>
        <stp>FQ3 2006</stp>
        <stp>FQ3 2006</stp>
        <stp>[FA1_j2ahgkxc.xlsx]Per Share!R20C33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0" s="5"/>
      </tp>
      <tp>
        <v>3.3561999999999999</v>
        <stp/>
        <stp>##V3_BDHV12</stp>
        <stp>AMZN US Equity</stp>
        <stp>PROF_MARGIN</stp>
        <stp>FQ4 2008</stp>
        <stp>FQ4 2008</stp>
        <stp>[FA1_j2ahgkxc.xlsx]Income - Adjusted!R52C42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2" s="2"/>
      </tp>
      <tp>
        <v>-56.063600000000001</v>
        <stp/>
        <stp>##V3_BDHV12</stp>
        <stp>AMZN US Equity</stp>
        <stp>PROF_MARGIN</stp>
        <stp>FQ4 2000</stp>
        <stp>FQ4 2000</stp>
        <stp>[FA1_j2ahgkxc.xlsx]Income - Adjusted!R52C10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2" s="2"/>
      </tp>
      <tp>
        <v>3.7595999999999998</v>
        <stp/>
        <stp>##V3_BDHV12</stp>
        <stp>AMZN US Equity</stp>
        <stp>PROF_MARGIN</stp>
        <stp>FQ4 2003</stp>
        <stp>FQ4 2003</stp>
        <stp>[FA1_j2ahgkxc.xlsx]Income - Adjusted!R52C22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2" s="2"/>
      </tp>
      <tp>
        <v>0.45619999999999999</v>
        <stp/>
        <stp>##V3_BDHV12</stp>
        <stp>AMZN US Equity</stp>
        <stp>PROF_MARGIN</stp>
        <stp>FQ4 2001</stp>
        <stp>FQ4 2001</stp>
        <stp>[FA1_j2ahgkxc.xlsx]Income - Adjusted!R52C14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2" s="2"/>
      </tp>
      <tp>
        <v>0.18559999999999999</v>
        <stp/>
        <stp>##V3_BDHV12</stp>
        <stp>AMZN US Equity</stp>
        <stp>PROF_MARGIN</stp>
        <stp>FQ4 2002</stp>
        <stp>FQ4 2002</stp>
        <stp>[FA1_j2ahgkxc.xlsx]Income - Adjusted!R52C18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2" s="2"/>
      </tp>
      <tp>
        <v>2.4586000000000001</v>
        <stp/>
        <stp>##V3_BDHV12</stp>
        <stp>AMZN US Equity</stp>
        <stp>PROF_MARGIN</stp>
        <stp>FQ4 2006</stp>
        <stp>FQ4 2006</stp>
        <stp>[FA1_j2ahgkxc.xlsx]Income - Adjusted!R52C34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2" s="2"/>
      </tp>
      <tp>
        <v>3.6489000000000003</v>
        <stp/>
        <stp>##V3_BDHV12</stp>
        <stp>AMZN US Equity</stp>
        <stp>PROF_MARGIN</stp>
        <stp>FQ4 2007</stp>
        <stp>FQ4 2007</stp>
        <stp>[FA1_j2ahgkxc.xlsx]Income - Adjusted!R52C38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2" s="2"/>
      </tp>
      <tp>
        <v>6.6845999999999997</v>
        <stp/>
        <stp>##V3_BDHV12</stp>
        <stp>AMZN US Equity</stp>
        <stp>PROF_MARGIN</stp>
        <stp>FQ4 2005</stp>
        <stp>FQ4 2005</stp>
        <stp>[FA1_j2ahgkxc.xlsx]Income - Adjusted!R52C30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2" s="2"/>
      </tp>
      <tp>
        <v>13.644</v>
        <stp/>
        <stp>##V3_BDHV12</stp>
        <stp>AMZN US Equity</stp>
        <stp>PROF_MARGIN</stp>
        <stp>FQ4 2004</stp>
        <stp>FQ4 2004</stp>
        <stp>[FA1_j2ahgkxc.xlsx]Income - Adjusted!R52C26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2" s="2"/>
      </tp>
      <tp>
        <v>-83.283000000000001</v>
        <stp/>
        <stp>##V3_BDHV12</stp>
        <stp>AMZN US Equity</stp>
        <stp>EBITA</stp>
        <stp>FQ4 2000</stp>
        <stp>FQ4 2000</stp>
        <stp>[FA1_j2ahgkxc.xlsx]Income - Adjusted!R48C10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8" s="2"/>
      </tp>
      <tp>
        <v>123</v>
        <stp/>
        <stp>##V3_BDHV12</stp>
        <stp>AMZN US Equity</stp>
        <stp>EBITA</stp>
        <stp>FQ3 2007</stp>
        <stp>FQ3 2007</stp>
        <stp>[FA1_j2ahgkxc.xlsx]Income - Adjusted!R48C37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8" s="2"/>
      </tp>
      <tp>
        <v>79.123999999999995</v>
        <stp/>
        <stp>##V3_BDHV12</stp>
        <stp>AMZN US Equity</stp>
        <stp>EBITA</stp>
        <stp>FQ2 2004</stp>
        <stp>FQ2 2004</stp>
        <stp>[FA1_j2ahgkxc.xlsx]Income - Adjusted!R48C24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8" s="2"/>
      </tp>
      <tp>
        <v>-51.517000000000003</v>
        <stp/>
        <stp>##V3_BDHV12</stp>
        <stp>AMZN US Equity</stp>
        <stp>EBITA</stp>
        <stp>FQ1 2001</stp>
        <stp>FQ1 2001</stp>
        <stp>[FA1_j2ahgkxc.xlsx]Income - Adjusted!R48C11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8" s="2"/>
      </tp>
      <tp>
        <v>-230.49100000000001</v>
        <stp/>
        <stp>##V3_BDHV12</stp>
        <stp>AMZN US Equity</stp>
        <stp>OTHER_INS_RES_TO_SHRHLDR_EQY</stp>
        <stp>FQ1 1999</stp>
        <stp>FQ1 1999</stp>
        <stp>[FA1_j2ahgkxc.xlsx]Bal Sheet - Standardized!R51C4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1" s="3"/>
      </tp>
      <tp>
        <v>-611.12300000000005</v>
        <stp/>
        <stp>##V3_BDHV12</stp>
        <stp>AMZN US Equity</stp>
        <stp>OTHER_INS_RES_TO_SHRHLDR_EQY</stp>
        <stp>FQ3 1999</stp>
        <stp>FQ3 1999</stp>
        <stp>[FA1_j2ahgkxc.xlsx]Bal Sheet - Standardized!R51C6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1" s="3"/>
      </tp>
      <tp t="s">
        <v>—</v>
        <stp/>
        <stp>##V3_BDHV12</stp>
        <stp>AMZN US Equity</stp>
        <stp>BS_CURR_RENTAL_EXPENSE</stp>
        <stp>FQ1 1999</stp>
        <stp>FQ1 1999</stp>
        <stp>[FA1_j2ahgkxc.xlsx]Income - Adjusted!R58C4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8" s="2"/>
      </tp>
      <tp>
        <v>27.542999999999999</v>
        <stp/>
        <stp>##V3_BDHV12</stp>
        <stp>AMZN US Equity</stp>
        <stp>OTHER_INS_RES_TO_SHRHLDR_EQY</stp>
        <stp>FQ2 2004</stp>
        <stp>FQ2 2004</stp>
        <stp>[FA1_j2ahgkxc.xlsx]Bal Sheet - Standardized!R51C24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1" s="3"/>
      </tp>
      <tp>
        <v>25.8491</v>
        <stp/>
        <stp>##V3_BDHV12</stp>
        <stp>AMZN US Equity</stp>
        <stp>OTHER_INS_RES_TO_SHRHLDR_EQY</stp>
        <stp>FQ3 2004</stp>
        <stp>FQ3 2004</stp>
        <stp>[FA1_j2ahgkxc.xlsx]Bal Sheet - Standardized!R51C25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1" s="3"/>
      </tp>
      <tp t="s">
        <v>—</v>
        <stp/>
        <stp>##V3_BDHV12</stp>
        <stp>AMZN US Equity</stp>
        <stp>BS_CURR_RENTAL_EXPENSE</stp>
        <stp>FQ1 2000</stp>
        <stp>FQ1 2000</stp>
        <stp>[FA1_j2ahgkxc.xlsx]Income - Adjusted!R58C8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8" s="2"/>
      </tp>
      <tp>
        <v>164</v>
        <stp/>
        <stp>##V3_BDHV12</stp>
        <stp>AMZN US Equity</stp>
        <stp>CF_TAX_BENEFIT_FRM_STOCK_OPTIONS</stp>
        <stp>FQ4 2007</stp>
        <stp>FQ4 2007</stp>
        <stp>[FA1_j2ahgkxc.xlsx]Cash Flow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4"/>
      </tp>
      <tp>
        <v>53</v>
        <stp/>
        <stp>##V3_BDHV12</stp>
        <stp>AMZN US Equity</stp>
        <stp>CF_TAX_BENEFIT_FRM_STOCK_OPTIONS</stp>
        <stp>FQ3 2008</stp>
        <stp>FQ3 2008</stp>
        <stp>[FA1_j2ahgkxc.xlsx]Cash Flow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4"/>
      </tp>
      <tp>
        <v>65</v>
        <stp/>
        <stp>##V3_BDHV12</stp>
        <stp>AMZN US Equity</stp>
        <stp>CF_TAX_BENEFIT_FRM_STOCK_OPTIONS</stp>
        <stp>FQ4 2006</stp>
        <stp>FQ4 2006</stp>
        <stp>[FA1_j2ahgkxc.xlsx]Cash Flow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4"/>
      </tp>
      <tp>
        <v>782.03200000000004</v>
        <stp/>
        <stp>##V3_BDHV12</stp>
        <stp>AMZN US Equity</stp>
        <stp>NET_DEBT</stp>
        <stp>FQ1 2004</stp>
        <stp>FQ1 2004</stp>
        <stp>[FA1_j2ahgkxc.xlsx]Bal Sheet - Standardized!R65C23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5" s="3"/>
      </tp>
      <tp>
        <v>1409.2529999999999</v>
        <stp/>
        <stp>##V3_BDHV12</stp>
        <stp>AMZN US Equity</stp>
        <stp>NET_DEBT</stp>
        <stp>FQ2 2002</stp>
        <stp>FQ2 2002</stp>
        <stp>[FA1_j2ahgkxc.xlsx]Bal Sheet - Standardized!R65C16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5" s="3"/>
      </tp>
      <tp>
        <v>10</v>
        <stp/>
        <stp>##V3_BDHV12</stp>
        <stp>AMZN US Equity</stp>
        <stp>CF_TAX_BENEFIT_FRM_STOCK_OPTIONS</stp>
        <stp>FQ4 2005</stp>
        <stp>FQ4 2005</stp>
        <stp>[FA1_j2ahgkxc.xlsx]Cash Flow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4"/>
      </tp>
      <tp>
        <v>1536.095</v>
        <stp/>
        <stp>##V3_BDHV12</stp>
        <stp>AMZN US Equity</stp>
        <stp>NET_DEBT</stp>
        <stp>FQ2 2001</stp>
        <stp>FQ2 2001</stp>
        <stp>[FA1_j2ahgkxc.xlsx]Bal Sheet - Standardized!R65C12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5" s="3"/>
      </tp>
      <tp>
        <v>412</v>
        <stp/>
        <stp>##V3_BDHV12</stp>
        <stp>AMZN US Equity</stp>
        <stp>NET_DEBT</stp>
        <stp>FQ1 2005</stp>
        <stp>FQ1 2005</stp>
        <stp>[FA1_j2ahgkxc.xlsx]Bal Sheet - Standardized!R65C27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5" s="3"/>
      </tp>
      <tp>
        <v>65.376000000000005</v>
        <stp/>
        <stp>##V3_BDHV12</stp>
        <stp>AMZN US Equity</stp>
        <stp>CF_INCR_CAP_STOCK</stp>
        <stp>FQ4 2002</stp>
        <stp>FQ4 2002</stp>
        <stp>[FA1_j2ahgkxc.xlsx]Cash Flow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4"/>
      </tp>
      <tp>
        <v>2.0470000000000002</v>
        <stp/>
        <stp>##V3_BDHV12</stp>
        <stp>AMZN US Equity</stp>
        <stp>CF_INCR_CAP_STOCK</stp>
        <stp>FQ4 2001</stp>
        <stp>FQ4 2001</stp>
        <stp>[FA1_j2ahgkxc.xlsx]Cash Flow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4"/>
      </tp>
      <tp>
        <v>4.9800000000000004</v>
        <stp/>
        <stp>##V3_BDHV12</stp>
        <stp>AMZN US Equity</stp>
        <stp>CF_INCR_CAP_STOCK</stp>
        <stp>FQ4 2000</stp>
        <stp>FQ4 2000</stp>
        <stp>[FA1_j2ahgkxc.xlsx]Cash Flow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4"/>
      </tp>
      <tp t="s">
        <v>—</v>
        <stp/>
        <stp>##V3_BDHV12</stp>
        <stp>AMZN US Equity</stp>
        <stp>IS_SG&amp;A_EXPENSE</stp>
        <stp>FQ4 2005</stp>
        <stp>FQ4 2005</stp>
        <stp>[FA1_j2ahgkxc.xlsx]Income - Adjusted!R10C30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 t="s">
        <v>—</v>
        <stp/>
        <stp>##V3_BDHV12</stp>
        <stp>AMZN US Equity</stp>
        <stp>IS_SG&amp;A_EXPENSE</stp>
        <stp>FQ4 2001</stp>
        <stp>FQ4 2001</stp>
        <stp>[FA1_j2ahgkxc.xlsx]Income - Adjusted!R10C14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 t="s">
        <v>—</v>
        <stp/>
        <stp>##V3_BDHV12</stp>
        <stp>AMZN US Equity</stp>
        <stp>IS_SG&amp;A_EXPENSE</stp>
        <stp>FQ3 2002</stp>
        <stp>FQ3 2002</stp>
        <stp>[FA1_j2ahgkxc.xlsx]Income - Adjusted!R10C17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 t="s">
        <v>—</v>
        <stp/>
        <stp>##V3_BDHV12</stp>
        <stp>AMZN US Equity</stp>
        <stp>IS_SG&amp;A_EXPENSE</stp>
        <stp>FQ3 2006</stp>
        <stp>FQ3 2006</stp>
        <stp>[FA1_j2ahgkxc.xlsx]Income - Adjusted!R10C33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>
        <v>7.9359999999999999</v>
        <stp/>
        <stp>##V3_BDHV12</stp>
        <stp>AMZN US Equity</stp>
        <stp>CFF_ACTIVITIES_DETAILED</stp>
        <stp>FQ3 2002</stp>
        <stp>FQ3 2002</stp>
        <stp>[FA1_j2ahgkxc.xlsx]Cash Flow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4"/>
      </tp>
      <tp>
        <v>-287</v>
        <stp/>
        <stp>##V3_BDHV12</stp>
        <stp>AMZN US Equity</stp>
        <stp>CFF_ACTIVITIES_DETAILED</stp>
        <stp>FQ1 2006</stp>
        <stp>FQ1 2006</stp>
        <stp>[FA1_j2ahgkxc.xlsx]Cash Flow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4"/>
      </tp>
      <tp>
        <v>129</v>
        <stp/>
        <stp>##V3_BDHV12</stp>
        <stp>AMZN US Equity</stp>
        <stp>CFF_ACTIVITIES_DETAILED</stp>
        <stp>FQ1 2008</stp>
        <stp>FQ1 2008</stp>
        <stp>[FA1_j2ahgkxc.xlsx]Cash Flow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4"/>
      </tp>
      <tp>
        <v>128.779</v>
        <stp/>
        <stp>##V3_BDHV12</stp>
        <stp>AMZN US Equity</stp>
        <stp>CFF_ACTIVITIES_DETAILED</stp>
        <stp>FQ3 2001</stp>
        <stp>FQ3 2001</stp>
        <stp>[FA1_j2ahgkxc.xlsx]Cash Flow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4"/>
      </tp>
      <tp>
        <v>383.702</v>
        <stp/>
        <stp>##V3_BDHV12</stp>
        <stp>AMZN US Equity</stp>
        <stp>IS_AVG_NUM_SH_FOR_EPS</stp>
        <stp>FQ4 2002</stp>
        <stp>FQ4 2002</stp>
        <stp>[FA1_j2ahgkxc.xlsx]Income - Adjusted!R34C18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4" s="2"/>
      </tp>
      <tp>
        <v>428</v>
        <stp/>
        <stp>##V3_BDHV12</stp>
        <stp>AMZN US Equity</stp>
        <stp>IS_AVG_NUM_SH_FOR_EPS</stp>
        <stp>FQ4 2008</stp>
        <stp>FQ4 2008</stp>
        <stp>[FA1_j2ahgkxc.xlsx]Income - Adjusted!R34C42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4" s="2"/>
      </tp>
      <tp>
        <v>388.541</v>
        <stp/>
        <stp>##V3_BDHV12</stp>
        <stp>AMZN US Equity</stp>
        <stp>IS_AVG_NUM_SH_FOR_EPS</stp>
        <stp>FQ1 2003</stp>
        <stp>FQ1 2003</stp>
        <stp>[FA1_j2ahgkxc.xlsx]Income - Adjusted!R34C19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4" s="2"/>
      </tp>
      <tp>
        <v>-230</v>
        <stp/>
        <stp>##V3_BDHV12</stp>
        <stp>AMZN US Equity</stp>
        <stp>CFF_ACTIVITIES_DETAILED</stp>
        <stp>FQ1 2007</stp>
        <stp>FQ1 2007</stp>
        <stp>[FA1_j2ahgkxc.xlsx]Cash Flow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4"/>
      </tp>
      <tp>
        <v>-0.55000000000000004</v>
        <stp/>
        <stp>##V3_BDHV12</stp>
        <stp>AMZN US Equity</stp>
        <stp>IS_DIL_EPS_CONT_OPS</stp>
        <stp>FQ4 1999</stp>
        <stp>FQ4 1999</stp>
        <stp>[FA1_j2ahgkxc.xlsx]Per Share!R19C7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9" s="5"/>
      </tp>
      <tp>
        <v>-240.524</v>
        <stp/>
        <stp>##V3_BDHV12</stp>
        <stp>AMZN US Equity</stp>
        <stp>EARN_FOR_COMMON</stp>
        <stp>FQ3 2000</stp>
        <stp>FQ3 2000</stp>
        <stp>[FA1_j2ahgkxc.xlsx]Income - Adjusted!R31C9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31" s="2"/>
      </tp>
      <tp>
        <v>-0.66449999999999998</v>
        <stp/>
        <stp>##V3_BDHV12</stp>
        <stp>AMZN US Equity</stp>
        <stp>FREE_CASH_FLOW_PER_SH</stp>
        <stp>FQ1 2003</stp>
        <stp>FQ1 2003</stp>
        <stp>[FA1_j2ahgkxc.xlsx]Per Share!R23C19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3" s="5"/>
      </tp>
      <tp>
        <v>0.93059999999999998</v>
        <stp/>
        <stp>##V3_BDHV12</stp>
        <stp>AMZN US Equity</stp>
        <stp>FREE_CASH_FLOW_PER_SH</stp>
        <stp>FQ4 2002</stp>
        <stp>FQ4 2002</stp>
        <stp>[FA1_j2ahgkxc.xlsx]Per Share!R23C18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3" s="5"/>
      </tp>
      <tp>
        <v>3.4346000000000001</v>
        <stp/>
        <stp>##V3_BDHV12</stp>
        <stp>AMZN US Equity</stp>
        <stp>FREE_CASH_FLOW_PER_SH</stp>
        <stp>FQ4 2008</stp>
        <stp>FQ4 2008</stp>
        <stp>[FA1_j2ahgkxc.xlsx]Per Share!R23C42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3" s="5"/>
      </tp>
      <tp>
        <v>10</v>
        <stp/>
        <stp>##V3_BDHV12</stp>
        <stp>AMZN US Equity</stp>
        <stp>IS_NET_INTEREST_EXPENSE</stp>
        <stp>FQ3 2005</stp>
        <stp>FQ3 2005</stp>
        <stp>[FA1_j2ahgkxc.xlsx]Income - Adjusted!R13C29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>
        <v>-10.121</v>
        <stp/>
        <stp>##V3_BDHV12</stp>
        <stp>AMZN US Equity</stp>
        <stp>EARN_FOR_COMMON</stp>
        <stp>FQ1 2003</stp>
        <stp>FQ1 2003</stp>
        <stp>[FA1_j2ahgkxc.xlsx]Income - Adjusted!R31C19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31" s="2"/>
      </tp>
      <tp>
        <v>225</v>
        <stp/>
        <stp>##V3_BDHV12</stp>
        <stp>AMZN US Equity</stp>
        <stp>EARN_FOR_COMMON</stp>
        <stp>FQ4 2008</stp>
        <stp>FQ4 2008</stp>
        <stp>[FA1_j2ahgkxc.xlsx]Income - Adjusted!R31C42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31" s="2"/>
      </tp>
      <tp>
        <v>2.6509999999999998</v>
        <stp/>
        <stp>##V3_BDHV12</stp>
        <stp>AMZN US Equity</stp>
        <stp>EARN_FOR_COMMON</stp>
        <stp>FQ4 2002</stp>
        <stp>FQ4 2002</stp>
        <stp>[FA1_j2ahgkxc.xlsx]Income - Adjusted!R31C18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31" s="2"/>
      </tp>
      <tp>
        <v>0.13</v>
        <stp/>
        <stp>##V3_BDHV12</stp>
        <stp>AMZN US Equity</stp>
        <stp>IS_BASIC_EPS_CONT_OPS</stp>
        <stp>FQ2 2005</stp>
        <stp>FQ2 2005</stp>
        <stp>[FA1_j2ahgkxc.xlsx]Per Share!R16C28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6" s="5"/>
      </tp>
      <tp>
        <v>0</v>
        <stp/>
        <stp>##V3_BDHV12</stp>
        <stp>AMZN US Equity</stp>
        <stp>EQY_DPS</stp>
        <stp>FQ2 2002</stp>
        <stp>FQ2 2002</stp>
        <stp>[FA1_j2ahgkxc.xlsx]Per Share!R20C16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0" s="5"/>
      </tp>
      <tp>
        <v>0</v>
        <stp/>
        <stp>##V3_BDHV12</stp>
        <stp>AMZN US Equity</stp>
        <stp>EQY_DPS</stp>
        <stp>FQ2 2006</stp>
        <stp>FQ2 2006</stp>
        <stp>[FA1_j2ahgkxc.xlsx]Per Share!R20C32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0" s="5"/>
      </tp>
      <tp>
        <v>137.89699999999999</v>
        <stp/>
        <stp>##V3_BDHV12</stp>
        <stp>AMZN US Equity</stp>
        <stp>EBITA</stp>
        <stp>FQ4 2003</stp>
        <stp>FQ4 2003</stp>
        <stp>[FA1_j2ahgkxc.xlsx]Income - Adjusted!R48C22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8" s="2"/>
      </tp>
      <tp>
        <v>81.274000000000001</v>
        <stp/>
        <stp>##V3_BDHV12</stp>
        <stp>AMZN US Equity</stp>
        <stp>EBITA</stp>
        <stp>FQ3 2004</stp>
        <stp>FQ3 2004</stp>
        <stp>[FA1_j2ahgkxc.xlsx]Income - Adjusted!R48C25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8" s="2"/>
      </tp>
      <tp>
        <v>116</v>
        <stp/>
        <stp>##V3_BDHV12</stp>
        <stp>AMZN US Equity</stp>
        <stp>EBITA</stp>
        <stp>FQ2 2007</stp>
        <stp>FQ2 2007</stp>
        <stp>[FA1_j2ahgkxc.xlsx]Income - Adjusted!R48C36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8" s="2"/>
      </tp>
      <tp>
        <v>198</v>
        <stp/>
        <stp>##V3_BDHV12</stp>
        <stp>AMZN US Equity</stp>
        <stp>EBITA</stp>
        <stp>FQ1 2008</stp>
        <stp>FQ1 2008</stp>
        <stp>[FA1_j2ahgkxc.xlsx]Income - Adjusted!R48C39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8" s="2"/>
      </tp>
      <tp>
        <v>3.6116000000000001</v>
        <stp/>
        <stp>##V3_BDHV12</stp>
        <stp>AMZN US Equity</stp>
        <stp>OPER_MARGIN</stp>
        <stp>FQ3 2008</stp>
        <stp>FQ3 2008</stp>
        <stp>[FA1_j2ahgkxc.xlsx]Income - Adjusted!R51C41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1" s="2"/>
      </tp>
      <tp>
        <v>3.1848000000000001</v>
        <stp/>
        <stp>##V3_BDHV12</stp>
        <stp>AMZN US Equity</stp>
        <stp>OPER_MARGIN</stp>
        <stp>FQ3 2002</stp>
        <stp>FQ3 2002</stp>
        <stp>[FA1_j2ahgkxc.xlsx]Income - Adjusted!R51C17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1" s="2"/>
      </tp>
      <tp>
        <v>-10.3773</v>
        <stp/>
        <stp>##V3_BDHV12</stp>
        <stp>AMZN US Equity</stp>
        <stp>OPER_MARGIN</stp>
        <stp>FQ3 2001</stp>
        <stp>FQ3 2001</stp>
        <stp>[FA1_j2ahgkxc.xlsx]Income - Adjusted!R51C13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1" s="2"/>
      </tp>
      <tp>
        <v>4.5776000000000003</v>
        <stp/>
        <stp>##V3_BDHV12</stp>
        <stp>AMZN US Equity</stp>
        <stp>OPER_MARGIN</stp>
        <stp>FQ3 2003</stp>
        <stp>FQ3 2003</stp>
        <stp>[FA1_j2ahgkxc.xlsx]Income - Adjusted!R51C21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1" s="2"/>
      </tp>
      <tp>
        <v>5.5572999999999997</v>
        <stp/>
        <stp>##V3_BDHV12</stp>
        <stp>AMZN US Equity</stp>
        <stp>OPER_MARGIN</stp>
        <stp>FQ3 2004</stp>
        <stp>FQ3 2004</stp>
        <stp>[FA1_j2ahgkxc.xlsx]Income - Adjusted!R51C25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1" s="2"/>
      </tp>
      <tp>
        <v>2.9601999999999999</v>
        <stp/>
        <stp>##V3_BDHV12</stp>
        <stp>AMZN US Equity</stp>
        <stp>OPER_MARGIN</stp>
        <stp>FQ3 2005</stp>
        <stp>FQ3 2005</stp>
        <stp>[FA1_j2ahgkxc.xlsx]Income - Adjusted!R51C29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1" s="2"/>
      </tp>
      <tp>
        <v>3.7707000000000002</v>
        <stp/>
        <stp>##V3_BDHV12</stp>
        <stp>AMZN US Equity</stp>
        <stp>OPER_MARGIN</stp>
        <stp>FQ3 2007</stp>
        <stp>FQ3 2007</stp>
        <stp>[FA1_j2ahgkxc.xlsx]Income - Adjusted!R51C37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1" s="2"/>
      </tp>
      <tp>
        <v>1.7339</v>
        <stp/>
        <stp>##V3_BDHV12</stp>
        <stp>AMZN US Equity</stp>
        <stp>OPER_MARGIN</stp>
        <stp>FQ3 2006</stp>
        <stp>FQ3 2006</stp>
        <stp>[FA1_j2ahgkxc.xlsx]Income - Adjusted!R51C33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1" s="2"/>
      </tp>
      <tp>
        <v>5.3408999999999995</v>
        <stp/>
        <stp>##V3_BDHV12</stp>
        <stp>AMZN US Equity</stp>
        <stp>OPER_MARGIN</stp>
        <stp>FQ2 2008</stp>
        <stp>FQ2 2008</stp>
        <stp>[FA1_j2ahgkxc.xlsx]Income - Adjusted!R51C40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1" s="2"/>
      </tp>
      <tp>
        <v>0.1827</v>
        <stp/>
        <stp>##V3_BDHV12</stp>
        <stp>AMZN US Equity</stp>
        <stp>OPER_MARGIN</stp>
        <stp>FQ2 2002</stp>
        <stp>FQ2 2002</stp>
        <stp>[FA1_j2ahgkxc.xlsx]Income - Adjusted!R51C16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1" s="2"/>
      </tp>
      <tp>
        <v>3.8024</v>
        <stp/>
        <stp>##V3_BDHV12</stp>
        <stp>AMZN US Equity</stp>
        <stp>OPER_MARGIN</stp>
        <stp>FQ2 2003</stp>
        <stp>FQ2 2003</stp>
        <stp>[FA1_j2ahgkxc.xlsx]Income - Adjusted!R51C20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1" s="2"/>
      </tp>
      <tp>
        <v>-12.161</v>
        <stp/>
        <stp>##V3_BDHV12</stp>
        <stp>AMZN US Equity</stp>
        <stp>OPER_MARGIN</stp>
        <stp>FQ2 2001</stp>
        <stp>FQ2 2001</stp>
        <stp>[FA1_j2ahgkxc.xlsx]Income - Adjusted!R51C12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1" s="2"/>
      </tp>
      <tp>
        <v>5.9326999999999996</v>
        <stp/>
        <stp>##V3_BDHV12</stp>
        <stp>AMZN US Equity</stp>
        <stp>OPER_MARGIN</stp>
        <stp>FQ2 2005</stp>
        <stp>FQ2 2005</stp>
        <stp>[FA1_j2ahgkxc.xlsx]Income - Adjusted!R51C28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1" s="2"/>
      </tp>
      <tp>
        <v>5.7033000000000005</v>
        <stp/>
        <stp>##V3_BDHV12</stp>
        <stp>AMZN US Equity</stp>
        <stp>OPER_MARGIN</stp>
        <stp>FQ2 2004</stp>
        <stp>FQ2 2004</stp>
        <stp>[FA1_j2ahgkxc.xlsx]Income - Adjusted!R51C24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1" s="2"/>
      </tp>
      <tp>
        <v>2.1972999999999998</v>
        <stp/>
        <stp>##V3_BDHV12</stp>
        <stp>AMZN US Equity</stp>
        <stp>OPER_MARGIN</stp>
        <stp>FQ2 2006</stp>
        <stp>FQ2 2006</stp>
        <stp>[FA1_j2ahgkxc.xlsx]Income - Adjusted!R51C32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1" s="2"/>
      </tp>
      <tp>
        <v>4.0194000000000001</v>
        <stp/>
        <stp>##V3_BDHV12</stp>
        <stp>AMZN US Equity</stp>
        <stp>OPER_MARGIN</stp>
        <stp>FQ2 2007</stp>
        <stp>FQ2 2007</stp>
        <stp>[FA1_j2ahgkxc.xlsx]Income - Adjusted!R51C36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1" s="2"/>
      </tp>
      <tp>
        <v>4.7884000000000002</v>
        <stp/>
        <stp>##V3_BDHV12</stp>
        <stp>AMZN US Equity</stp>
        <stp>OPER_MARGIN</stp>
        <stp>FQ1 2008</stp>
        <stp>FQ1 2008</stp>
        <stp>[FA1_j2ahgkxc.xlsx]Income - Adjusted!R51C39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1" s="2"/>
      </tp>
      <tp>
        <v>-14.6137</v>
        <stp/>
        <stp>##V3_BDHV12</stp>
        <stp>AMZN US Equity</stp>
        <stp>OPER_MARGIN</stp>
        <stp>FQ1 2001</stp>
        <stp>FQ1 2001</stp>
        <stp>[FA1_j2ahgkxc.xlsx]Income - Adjusted!R51C11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1" s="2"/>
      </tp>
      <tp>
        <v>3.62</v>
        <stp/>
        <stp>##V3_BDHV12</stp>
        <stp>AMZN US Equity</stp>
        <stp>OPER_MARGIN</stp>
        <stp>FQ1 2003</stp>
        <stp>FQ1 2003</stp>
        <stp>[FA1_j2ahgkxc.xlsx]Income - Adjusted!R51C19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1" s="2"/>
      </tp>
      <tp>
        <v>1.3862999999999999</v>
        <stp/>
        <stp>##V3_BDHV12</stp>
        <stp>AMZN US Equity</stp>
        <stp>OPER_MARGIN</stp>
        <stp>FQ1 2002</stp>
        <stp>FQ1 2002</stp>
        <stp>[FA1_j2ahgkxc.xlsx]Income - Adjusted!R51C15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1" s="2"/>
      </tp>
      <tp>
        <v>4.8093000000000004</v>
        <stp/>
        <stp>##V3_BDHV12</stp>
        <stp>AMZN US Equity</stp>
        <stp>OPER_MARGIN</stp>
        <stp>FQ1 2007</stp>
        <stp>FQ1 2007</stp>
        <stp>[FA1_j2ahgkxc.xlsx]Income - Adjusted!R51C35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1" s="2"/>
      </tp>
      <tp>
        <v>4.6512000000000002</v>
        <stp/>
        <stp>##V3_BDHV12</stp>
        <stp>AMZN US Equity</stp>
        <stp>OPER_MARGIN</stp>
        <stp>FQ1 2006</stp>
        <stp>FQ1 2006</stp>
        <stp>[FA1_j2ahgkxc.xlsx]Income - Adjusted!R51C31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1" s="2"/>
      </tp>
      <tp>
        <v>7.2163000000000004</v>
        <stp/>
        <stp>##V3_BDHV12</stp>
        <stp>AMZN US Equity</stp>
        <stp>OPER_MARGIN</stp>
        <stp>FQ1 2004</stp>
        <stp>FQ1 2004</stp>
        <stp>[FA1_j2ahgkxc.xlsx]Income - Adjusted!R51C23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1" s="2"/>
      </tp>
      <tp>
        <v>5.6782000000000004</v>
        <stp/>
        <stp>##V3_BDHV12</stp>
        <stp>AMZN US Equity</stp>
        <stp>OPER_MARGIN</stp>
        <stp>FQ1 2005</stp>
        <stp>FQ1 2005</stp>
        <stp>[FA1_j2ahgkxc.xlsx]Income - Adjusted!R51C27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1" s="2"/>
      </tp>
      <tp>
        <v>4.0572999999999997</v>
        <stp/>
        <stp>##V3_BDHV12</stp>
        <stp>AMZN US Equity</stp>
        <stp>OPER_MARGIN</stp>
        <stp>FQ4 2008</stp>
        <stp>FQ4 2008</stp>
        <stp>[FA1_j2ahgkxc.xlsx]Income - Adjusted!R51C42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1" s="2"/>
      </tp>
      <tp>
        <v>4.9172000000000002</v>
        <stp/>
        <stp>##V3_BDHV12</stp>
        <stp>AMZN US Equity</stp>
        <stp>OPER_MARGIN</stp>
        <stp>FQ4 2006</stp>
        <stp>FQ4 2006</stp>
        <stp>[FA1_j2ahgkxc.xlsx]Income - Adjusted!R51C34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1" s="2"/>
      </tp>
      <tp>
        <v>4.7770000000000001</v>
        <stp/>
        <stp>##V3_BDHV12</stp>
        <stp>AMZN US Equity</stp>
        <stp>OPER_MARGIN</stp>
        <stp>FQ4 2007</stp>
        <stp>FQ4 2007</stp>
        <stp>[FA1_j2ahgkxc.xlsx]Income - Adjusted!R51C38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1" s="2"/>
      </tp>
      <tp>
        <v>6.6742999999999997</v>
        <stp/>
        <stp>##V3_BDHV12</stp>
        <stp>AMZN US Equity</stp>
        <stp>OPER_MARGIN</stp>
        <stp>FQ4 2004</stp>
        <stp>FQ4 2004</stp>
        <stp>[FA1_j2ahgkxc.xlsx]Income - Adjusted!R51C26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1" s="2"/>
      </tp>
      <tp>
        <v>5.5425000000000004</v>
        <stp/>
        <stp>##V3_BDHV12</stp>
        <stp>AMZN US Equity</stp>
        <stp>OPER_MARGIN</stp>
        <stp>FQ4 2005</stp>
        <stp>FQ4 2005</stp>
        <stp>[FA1_j2ahgkxc.xlsx]Income - Adjusted!R51C30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1" s="2"/>
      </tp>
      <tp>
        <v>7.0797999999999996</v>
        <stp/>
        <stp>##V3_BDHV12</stp>
        <stp>AMZN US Equity</stp>
        <stp>OPER_MARGIN</stp>
        <stp>FQ4 2003</stp>
        <stp>FQ4 2003</stp>
        <stp>[FA1_j2ahgkxc.xlsx]Income - Adjusted!R51C22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1" s="2"/>
      </tp>
      <tp>
        <v>-14.1968</v>
        <stp/>
        <stp>##V3_BDHV12</stp>
        <stp>AMZN US Equity</stp>
        <stp>OPER_MARGIN</stp>
        <stp>FQ4 2000</stp>
        <stp>FQ4 2000</stp>
        <stp>[FA1_j2ahgkxc.xlsx]Income - Adjusted!R51C10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1" s="2"/>
      </tp>
      <tp>
        <v>1.9523999999999999</v>
        <stp/>
        <stp>##V3_BDHV12</stp>
        <stp>AMZN US Equity</stp>
        <stp>OPER_MARGIN</stp>
        <stp>FQ4 2001</stp>
        <stp>FQ4 2001</stp>
        <stp>[FA1_j2ahgkxc.xlsx]Income - Adjusted!R51C14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1" s="2"/>
      </tp>
      <tp>
        <v>4.5754000000000001</v>
        <stp/>
        <stp>##V3_BDHV12</stp>
        <stp>AMZN US Equity</stp>
        <stp>OPER_MARGIN</stp>
        <stp>FQ4 2002</stp>
        <stp>FQ4 2002</stp>
        <stp>[FA1_j2ahgkxc.xlsx]Income - Adjusted!R51C18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1" s="2"/>
      </tp>
      <tp>
        <v>3</v>
        <stp/>
        <stp>##V3_BDHV12</stp>
        <stp>AMZN US Equity</stp>
        <stp>OTHER_INS_RES_TO_SHRHLDR_EQY</stp>
        <stp>FQ1 2007</stp>
        <stp>FQ1 2007</stp>
        <stp>[FA1_j2ahgkxc.xlsx]Bal Sheet - Standardized!R51C35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1" s="3"/>
      </tp>
      <tp>
        <v>11</v>
        <stp/>
        <stp>##V3_BDHV12</stp>
        <stp>AMZN US Equity</stp>
        <stp>OTHER_INS_RES_TO_SHRHLDR_EQY</stp>
        <stp>FQ3 2007</stp>
        <stp>FQ3 2007</stp>
        <stp>[FA1_j2ahgkxc.xlsx]Bal Sheet - Standardized!R51C37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1" s="3"/>
      </tp>
      <tp>
        <v>3</v>
        <stp/>
        <stp>##V3_BDHV12</stp>
        <stp>AMZN US Equity</stp>
        <stp>OTHER_INS_RES_TO_SHRHLDR_EQY</stp>
        <stp>FQ2 2007</stp>
        <stp>FQ2 2007</stp>
        <stp>[FA1_j2ahgkxc.xlsx]Bal Sheet - Standardized!R51C36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1" s="3"/>
      </tp>
      <tp>
        <v>24</v>
        <stp/>
        <stp>##V3_BDHV12</stp>
        <stp>AMZN US Equity</stp>
        <stp>OTHER_INS_RES_TO_SHRHLDR_EQY</stp>
        <stp>FQ1 2005</stp>
        <stp>FQ1 2005</stp>
        <stp>[FA1_j2ahgkxc.xlsx]Bal Sheet - Standardized!R51C27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1" s="3"/>
      </tp>
      <tp>
        <v>278</v>
        <stp/>
        <stp>##V3_BDHV12</stp>
        <stp>AMZN US Equity</stp>
        <stp>CF_FREE_CASH_FLOW</stp>
        <stp>FQ2 2008</stp>
        <stp>FQ2 2008</stp>
        <stp>[FA1_j2ahgkxc.xlsx]Cash Flow - Standardized!R49C40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9" s="4"/>
      </tp>
      <tp>
        <v>0</v>
        <stp/>
        <stp>##V3_BDHV12</stp>
        <stp>AMZN US Equity</stp>
        <stp>IS_TOT_CASH_COM_DVD</stp>
        <stp>FQ3 2006</stp>
        <stp>FQ3 2006</stp>
        <stp>[FA1_j2ahgkxc.xlsx]Income - Adjusted!R55C33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2"/>
      </tp>
      <tp>
        <v>0</v>
        <stp/>
        <stp>##V3_BDHV12</stp>
        <stp>AMZN US Equity</stp>
        <stp>IS_TOT_CASH_COM_DVD</stp>
        <stp>FQ1 2005</stp>
        <stp>FQ1 2005</stp>
        <stp>[FA1_j2ahgkxc.xlsx]Income - Adjusted!R55C27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2"/>
      </tp>
      <tp>
        <v>463.72699999999998</v>
        <stp/>
        <stp>##V3_BDHV12</stp>
        <stp>AMZN US Equity</stp>
        <stp>CF_FREE_CASH_FLOW</stp>
        <stp>FQ4 2003</stp>
        <stp>FQ4 2003</stp>
        <stp>[FA1_j2ahgkxc.xlsx]Cash Flow - Standardized!R49C22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9" s="4"/>
      </tp>
      <tp>
        <v>0</v>
        <stp/>
        <stp>##V3_BDHV12</stp>
        <stp>AMZN US Equity</stp>
        <stp>IS_TOT_CASH_COM_DVD</stp>
        <stp>FQ2 2007</stp>
        <stp>FQ2 2007</stp>
        <stp>[FA1_j2ahgkxc.xlsx]Income - Adjusted!R55C36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2"/>
      </tp>
      <tp>
        <v>520.81200000000001</v>
        <stp/>
        <stp>##V3_BDHV12</stp>
        <stp>AMZN US Equity</stp>
        <stp>CF_FREE_CASH_FLOW</stp>
        <stp>FQ4 2004</stp>
        <stp>FQ4 2004</stp>
        <stp>[FA1_j2ahgkxc.xlsx]Cash Flow - Standardized!R49C26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9" s="4"/>
      </tp>
      <tp>
        <v>-1113</v>
        <stp/>
        <stp>##V3_BDHV12</stp>
        <stp>AMZN US Equity</stp>
        <stp>INC_DEC_IN_OT_OP_AST_LIAB_DETAIL</stp>
        <stp>FQ1 2008</stp>
        <stp>FQ1 2008</stp>
        <stp>[FA1_j2ahgkxc.xlsx]Cash Flow - Standardized!R17C39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4"/>
      </tp>
      <tp>
        <v>1.196</v>
        <stp/>
        <stp>##V3_BDHV12</stp>
        <stp>AMZN US Equity</stp>
        <stp>INC_DEC_IN_OT_OP_AST_LIAB_DETAIL</stp>
        <stp>FQ3 2001</stp>
        <stp>FQ3 2001</stp>
        <stp>[FA1_j2ahgkxc.xlsx]Cash Flow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4"/>
      </tp>
      <tp>
        <v>0</v>
        <stp/>
        <stp>##V3_BDHV12</stp>
        <stp>AMZN US Equity</stp>
        <stp>IS_TOT_CASH_COM_DVD</stp>
        <stp>FQ1 2000</stp>
        <stp>FQ1 2000</stp>
        <stp>[FA1_j2ahgkxc.xlsx]Income - Adjusted!R55C8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2"/>
      </tp>
      <tp>
        <v>-57</v>
        <stp/>
        <stp>##V3_BDHV12</stp>
        <stp>AMZN US Equity</stp>
        <stp>INC_DEC_IN_OT_OP_AST_LIAB_DETAIL</stp>
        <stp>FQ1 2007</stp>
        <stp>FQ1 2007</stp>
        <stp>[FA1_j2ahgkxc.xlsx]Cash Flow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4"/>
      </tp>
      <tp>
        <v>0</v>
        <stp/>
        <stp>##V3_BDHV12</stp>
        <stp>AMZN US Equity</stp>
        <stp>CF_DECR_CAP_STOCK</stp>
        <stp>FQ3 2005</stp>
        <stp>FQ3 2005</stp>
        <stp>[FA1_j2ahgkxc.xlsx]Cash Flow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4"/>
      </tp>
      <tp>
        <v>-507</v>
        <stp/>
        <stp>##V3_BDHV12</stp>
        <stp>AMZN US Equity</stp>
        <stp>INC_DEC_IN_OT_OP_AST_LIAB_DETAIL</stp>
        <stp>FQ1 2006</stp>
        <stp>FQ1 2006</stp>
        <stp>[FA1_j2ahgkxc.xlsx]Cash Flow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4"/>
      </tp>
      <tp>
        <v>46.75</v>
        <stp/>
        <stp>##V3_BDHV12</stp>
        <stp>AMZN US Equity</stp>
        <stp>INC_DEC_IN_OT_OP_AST_LIAB_DETAIL</stp>
        <stp>FQ3 2002</stp>
        <stp>FQ3 2002</stp>
        <stp>[FA1_j2ahgkxc.xlsx]Cash Flow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4"/>
      </tp>
      <tp>
        <v>0</v>
        <stp/>
        <stp>##V3_BDHV12</stp>
        <stp>AMZN US Equity</stp>
        <stp>CF_DECR_CAP_STOCK</stp>
        <stp>FQ2 2007</stp>
        <stp>FQ2 2007</stp>
        <stp>[FA1_j2ahgkxc.xlsx]Cash Flow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4"/>
      </tp>
      <tp>
        <v>0</v>
        <stp/>
        <stp>##V3_BDHV12</stp>
        <stp>AMZN US Equity</stp>
        <stp>IS_TOT_CASH_PFD_DVD</stp>
        <stp>FQ1 2005</stp>
        <stp>FQ1 2005</stp>
        <stp>[FA1_j2ahgkxc.xlsx]Income - Adjusted!R27C27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2"/>
      </tp>
      <tp>
        <v>0</v>
        <stp/>
        <stp>##V3_BDHV12</stp>
        <stp>AMZN US Equity</stp>
        <stp>CF_DECR_CAP_STOCK</stp>
        <stp>FQ3 2004</stp>
        <stp>FQ3 2004</stp>
        <stp>[FA1_j2ahgkxc.xlsx]Cash Flow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4"/>
      </tp>
      <tp>
        <v>0</v>
        <stp/>
        <stp>##V3_BDHV12</stp>
        <stp>AMZN US Equity</stp>
        <stp>IS_TOT_CASH_PFD_DVD</stp>
        <stp>FQ2 2007</stp>
        <stp>FQ2 2007</stp>
        <stp>[FA1_j2ahgkxc.xlsx]Income - Adjusted!R27C36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2"/>
      </tp>
      <tp>
        <v>0</v>
        <stp/>
        <stp>##V3_BDHV12</stp>
        <stp>AMZN US Equity</stp>
        <stp>CF_DECR_CAP_STOCK</stp>
        <stp>FQ3 2003</stp>
        <stp>FQ3 2003</stp>
        <stp>[FA1_j2ahgkxc.xlsx]Cash Flow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4"/>
      </tp>
      <tp>
        <v>361</v>
        <stp/>
        <stp>##V3_BDHV12</stp>
        <stp>AMZN US Equity</stp>
        <stp>BS_NET_FIX_ASSET</stp>
        <stp>FQ1 2006</stp>
        <stp>FQ1 2006</stp>
        <stp>[FA1_j2ahgkxc.xlsx]Bal Sheet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3"/>
      </tp>
      <tp>
        <v>239.238</v>
        <stp/>
        <stp>##V3_BDHV12</stp>
        <stp>AMZN US Equity</stp>
        <stp>BS_NET_FIX_ASSET</stp>
        <stp>FQ3 2002</stp>
        <stp>FQ3 2002</stp>
        <stp>[FA1_j2ahgkxc.xlsx]Bal Sheet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3"/>
      </tp>
      <tp>
        <v>288.37299999999999</v>
        <stp/>
        <stp>##V3_BDHV12</stp>
        <stp>AMZN US Equity</stp>
        <stp>BS_NET_FIX_ASSET</stp>
        <stp>FQ3 2001</stp>
        <stp>FQ3 2001</stp>
        <stp>[FA1_j2ahgkxc.xlsx]Bal Sheet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3"/>
      </tp>
      <tp>
        <v>0</v>
        <stp/>
        <stp>##V3_BDHV12</stp>
        <stp>AMZN US Equity</stp>
        <stp>CF_DECR_CAP_STOCK</stp>
        <stp>FQ2 2006</stp>
        <stp>FQ2 2006</stp>
        <stp>[FA1_j2ahgkxc.xlsx]Cash Flow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4"/>
      </tp>
      <tp>
        <v>594</v>
        <stp/>
        <stp>##V3_BDHV12</stp>
        <stp>AMZN US Equity</stp>
        <stp>BS_NET_FIX_ASSET</stp>
        <stp>FQ1 2008</stp>
        <stp>FQ1 2008</stp>
        <stp>[FA1_j2ahgkxc.xlsx]Bal Sheet - Standardized!R19C39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9" s="3"/>
      </tp>
      <tp>
        <v>0</v>
        <stp/>
        <stp>##V3_BDHV12</stp>
        <stp>AMZN US Equity</stp>
        <stp>IS_TOT_CASH_PFD_DVD</stp>
        <stp>FQ3 2006</stp>
        <stp>FQ3 2006</stp>
        <stp>[FA1_j2ahgkxc.xlsx]Income - Adjusted!R27C33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2"/>
      </tp>
      <tp>
        <v>442</v>
        <stp/>
        <stp>##V3_BDHV12</stp>
        <stp>AMZN US Equity</stp>
        <stp>BS_NET_FIX_ASSET</stp>
        <stp>FQ1 2007</stp>
        <stp>FQ1 2007</stp>
        <stp>[FA1_j2ahgkxc.xlsx]Bal Sheet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3"/>
      </tp>
      <tp>
        <v>0</v>
        <stp/>
        <stp>##V3_BDHV12</stp>
        <stp>AMZN US Equity</stp>
        <stp>IS_TOT_CASH_COM_DVD</stp>
        <stp>FQ1 1999</stp>
        <stp>FQ1 1999</stp>
        <stp>[FA1_j2ahgkxc.xlsx]Income - Adjusted!R55C4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2"/>
      </tp>
      <tp t="s">
        <v>—</v>
        <stp/>
        <stp>##V3_BDHV12</stp>
        <stp>AMZN US Equity</stp>
        <stp>IS_SG&amp;A_EXPENSE</stp>
        <stp>FQ4 2002</stp>
        <stp>FQ4 2002</stp>
        <stp>[FA1_j2ahgkxc.xlsx]Income - Adjusted!R10C18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>
        <v>241</v>
        <stp/>
        <stp>##V3_BDHV12</stp>
        <stp>AMZN US Equity</stp>
        <stp>IS_SG&amp;A_EXPENSE</stp>
        <stp>FQ4 2008</stp>
        <stp>FQ4 2008</stp>
        <stp>[FA1_j2ahgkxc.xlsx]Income - Adjusted!R10C42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0" s="2"/>
      </tp>
      <tp t="s">
        <v>—</v>
        <stp/>
        <stp>##V3_BDHV12</stp>
        <stp>AMZN US Equity</stp>
        <stp>IS_SG&amp;A_EXPENSE</stp>
        <stp>FQ1 2003</stp>
        <stp>FQ1 2003</stp>
        <stp>[FA1_j2ahgkxc.xlsx]Income - Adjusted!R10C19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415</v>
        <stp/>
        <stp>##V3_BDHV12</stp>
        <stp>AMZN US Equity</stp>
        <stp>IS_AVG_NUM_SH_FOR_EPS</stp>
        <stp>FQ4 2005</stp>
        <stp>FQ4 2005</stp>
        <stp>[FA1_j2ahgkxc.xlsx]Income - Adjusted!R34C30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4" s="2"/>
      </tp>
      <tp>
        <v>371.42</v>
        <stp/>
        <stp>##V3_BDHV12</stp>
        <stp>AMZN US Equity</stp>
        <stp>IS_AVG_NUM_SH_FOR_EPS</stp>
        <stp>FQ4 2001</stp>
        <stp>FQ4 2001</stp>
        <stp>[FA1_j2ahgkxc.xlsx]Income - Adjusted!R34C14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4" s="2"/>
      </tp>
      <tp>
        <v>379.65</v>
        <stp/>
        <stp>##V3_BDHV12</stp>
        <stp>AMZN US Equity</stp>
        <stp>IS_AVG_NUM_SH_FOR_EPS</stp>
        <stp>FQ3 2002</stp>
        <stp>FQ3 2002</stp>
        <stp>[FA1_j2ahgkxc.xlsx]Income - Adjusted!R34C17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4" s="2"/>
      </tp>
      <tp>
        <v>417</v>
        <stp/>
        <stp>##V3_BDHV12</stp>
        <stp>AMZN US Equity</stp>
        <stp>IS_AVG_NUM_SH_FOR_EPS</stp>
        <stp>FQ3 2006</stp>
        <stp>FQ3 2006</stp>
        <stp>[FA1_j2ahgkxc.xlsx]Income - Adjusted!R34C33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4" s="2"/>
      </tp>
      <tp>
        <v>-197.08</v>
        <stp/>
        <stp>##V3_BDHV12</stp>
        <stp>AMZN US Equity</stp>
        <stp>EARN_FOR_COMMON</stp>
        <stp>FQ3 1999</stp>
        <stp>FQ3 1999</stp>
        <stp>[FA1_j2ahgkxc.xlsx]Income - Adjusted!R31C6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31" s="2"/>
      </tp>
      <tp>
        <v>-61.667000000000002</v>
        <stp/>
        <stp>##V3_BDHV12</stp>
        <stp>AMZN US Equity</stp>
        <stp>EARN_FOR_COMMON</stp>
        <stp>FQ1 1999</stp>
        <stp>FQ1 1999</stp>
        <stp>[FA1_j2ahgkxc.xlsx]Income - Adjusted!R31C4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31" s="2"/>
      </tp>
      <tp t="s">
        <v>—</v>
        <stp/>
        <stp>##V3_BDHV12</stp>
        <stp>AMZN US Equity</stp>
        <stp>IS_NET_INTEREST_EXPENSE</stp>
        <stp>FQ4 1999</stp>
        <stp>FQ4 1999</stp>
        <stp>[FA1_j2ahgkxc.xlsx]Income - Adjusted!R13C7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 t="s">
        <v>—</v>
        <stp/>
        <stp>##V3_BDHV12</stp>
        <stp>AMZN US Equity</stp>
        <stp>CF_DEF_INC_TAX</stp>
        <stp>FQ3 1999</stp>
        <stp>FQ3 1999</stp>
        <stp>[FA1_j2ahgkxc.xlsx]Cash Flow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4"/>
      </tp>
      <tp t="s">
        <v>—</v>
        <stp/>
        <stp>##V3_BDHV12</stp>
        <stp>AMZN US Equity</stp>
        <stp>CF_DEF_INC_TAX</stp>
        <stp>FQ2 1999</stp>
        <stp>FQ2 1999</stp>
        <stp>[FA1_j2ahgkxc.xlsx]Cash Flow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87.846000000000004</v>
        <stp/>
        <stp>##V3_BDHV12</stp>
        <stp>AMZN US Equity</stp>
        <stp>GROSS_PROFIT</stp>
        <stp>FQ4 1999</stp>
        <stp>FQ4 1999</stp>
        <stp>[FA1_j2ahgkxc.xlsx]Income - Adjusted!R8C7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 t="s">
        <v>—</v>
        <stp/>
        <stp>##V3_BDHV12</stp>
        <stp>AMZN US Equity</stp>
        <stp>CF_DEF_INC_TAX</stp>
        <stp>FQ4 1999</stp>
        <stp>FQ4 1999</stp>
        <stp>[FA1_j2ahgkxc.xlsx]Cash Flow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4"/>
      </tp>
      <tp t="s">
        <v>—</v>
        <stp/>
        <stp>##V3_BDHV12</stp>
        <stp>AMZN US Equity</stp>
        <stp>CF_DEF_INC_TAX</stp>
        <stp>FQ1 1999</stp>
        <stp>FQ1 1999</stp>
        <stp>[FA1_j2ahgkxc.xlsx]Cash Flow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7.0499999999999993E-2</v>
        <stp/>
        <stp>##V3_BDHV12</stp>
        <stp>AMZN US Equity</stp>
        <stp>FREE_CASH_FLOW_PER_SH</stp>
        <stp>FQ3 2002</stp>
        <stp>FQ3 2002</stp>
        <stp>[FA1_j2ahgkxc.xlsx]Per Share!R23C17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3" s="5"/>
      </tp>
      <tp>
        <v>0.16309999999999999</v>
        <stp/>
        <stp>##V3_BDHV12</stp>
        <stp>AMZN US Equity</stp>
        <stp>FREE_CASH_FLOW_PER_SH</stp>
        <stp>FQ3 2006</stp>
        <stp>FQ3 2006</stp>
        <stp>[FA1_j2ahgkxc.xlsx]Per Share!R23C33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3" s="5"/>
      </tp>
      <tp>
        <v>1.3831</v>
        <stp/>
        <stp>##V3_BDHV12</stp>
        <stp>AMZN US Equity</stp>
        <stp>FREE_CASH_FLOW_PER_SH</stp>
        <stp>FQ4 2005</stp>
        <stp>FQ4 2005</stp>
        <stp>[FA1_j2ahgkxc.xlsx]Per Share!R23C30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3" s="5"/>
      </tp>
      <tp>
        <v>0.91969999999999996</v>
        <stp/>
        <stp>##V3_BDHV12</stp>
        <stp>AMZN US Equity</stp>
        <stp>FREE_CASH_FLOW_PER_SH</stp>
        <stp>FQ4 2001</stp>
        <stp>FQ4 2001</stp>
        <stp>[FA1_j2ahgkxc.xlsx]Per Share!R23C14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3" s="5"/>
      </tp>
      <tp>
        <v>-36.755000000000003</v>
        <stp/>
        <stp>##V3_BDHV12</stp>
        <stp>AMZN US Equity</stp>
        <stp>ACQUIS_FXD_&amp;_INTANG_DETAILED</stp>
        <stp>FQ4 2004</stp>
        <stp>FQ4 2004</stp>
        <stp>[FA1_j2ahgkxc.xlsx]Cash Flow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4"/>
      </tp>
      <tp>
        <v>-17.236000000000001</v>
        <stp/>
        <stp>##V3_BDHV12</stp>
        <stp>AMZN US Equity</stp>
        <stp>ACQUIS_FXD_&amp;_INTANG_DETAILED</stp>
        <stp>FQ4 2003</stp>
        <stp>FQ4 2003</stp>
        <stp>[FA1_j2ahgkxc.xlsx]Cash Flow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4"/>
      </tp>
      <tp t="s">
        <v>—</v>
        <stp/>
        <stp>##V3_BDHV12</stp>
        <stp>AMZN US Equity</stp>
        <stp>IS_NET_INTEREST_EXPENSE</stp>
        <stp>FQ2 2001</stp>
        <stp>FQ2 2001</stp>
        <stp>[FA1_j2ahgkxc.xlsx]Income - Adjusted!R13C12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 t="s">
        <v>—</v>
        <stp/>
        <stp>##V3_BDHV12</stp>
        <stp>AMZN US Equity</stp>
        <stp>IS_NET_INTEREST_EXPENSE</stp>
        <stp>FQ2 2003</stp>
        <stp>FQ2 2003</stp>
        <stp>[FA1_j2ahgkxc.xlsx]Income - Adjusted!R13C20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>
        <v>-35.08</v>
        <stp/>
        <stp>##V3_BDHV12</stp>
        <stp>AMZN US Equity</stp>
        <stp>EARN_FOR_COMMON</stp>
        <stp>FQ3 2002</stp>
        <stp>FQ3 2002</stp>
        <stp>[FA1_j2ahgkxc.xlsx]Income - Adjusted!R31C17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31" s="2"/>
      </tp>
      <tp>
        <v>19</v>
        <stp/>
        <stp>##V3_BDHV12</stp>
        <stp>AMZN US Equity</stp>
        <stp>EARN_FOR_COMMON</stp>
        <stp>FQ3 2006</stp>
        <stp>FQ3 2006</stp>
        <stp>[FA1_j2ahgkxc.xlsx]Income - Adjusted!R31C33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31" s="2"/>
      </tp>
      <tp>
        <v>199</v>
        <stp/>
        <stp>##V3_BDHV12</stp>
        <stp>AMZN US Equity</stp>
        <stp>EARN_FOR_COMMON</stp>
        <stp>FQ4 2005</stp>
        <stp>FQ4 2005</stp>
        <stp>[FA1_j2ahgkxc.xlsx]Income - Adjusted!R31C30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31" s="2"/>
      </tp>
      <tp>
        <v>5.0869999999999997</v>
        <stp/>
        <stp>##V3_BDHV12</stp>
        <stp>AMZN US Equity</stp>
        <stp>EARN_FOR_COMMON</stp>
        <stp>FQ4 2001</stp>
        <stp>FQ4 2001</stp>
        <stp>[FA1_j2ahgkxc.xlsx]Income - Adjusted!R31C14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31" s="2"/>
      </tp>
      <tp>
        <v>0.24</v>
        <stp/>
        <stp>##V3_BDHV12</stp>
        <stp>AMZN US Equity</stp>
        <stp>IS_BASIC_EPS_CONT_OPS</stp>
        <stp>FQ4 2006</stp>
        <stp>FQ4 2006</stp>
        <stp>[FA1_j2ahgkxc.xlsx]Per Share!R16C34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6" s="5"/>
      </tp>
      <tp>
        <v>0.36</v>
        <stp/>
        <stp>##V3_BDHV12</stp>
        <stp>AMZN US Equity</stp>
        <stp>IS_BASIC_EPS_CONT_OPS</stp>
        <stp>FQ4 2004</stp>
        <stp>FQ4 2004</stp>
        <stp>[FA1_j2ahgkxc.xlsx]Per Share!R16C26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6" s="5"/>
      </tp>
      <tp>
        <v>0.27</v>
        <stp/>
        <stp>##V3_BDHV12</stp>
        <stp>AMZN US Equity</stp>
        <stp>IS_BASIC_EPS_CONT_OPS</stp>
        <stp>FQ1 2007</stp>
        <stp>FQ1 2007</stp>
        <stp>[FA1_j2ahgkxc.xlsx]Per Share!R16C35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6" s="5"/>
      </tp>
      <tp>
        <v>0.13</v>
        <stp/>
        <stp>##V3_BDHV12</stp>
        <stp>AMZN US Equity</stp>
        <stp>IS_BASIC_EPS_CONT_OPS</stp>
        <stp>FQ1 2005</stp>
        <stp>FQ1 2005</stp>
        <stp>[FA1_j2ahgkxc.xlsx]Per Share!R16C27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6" s="5"/>
      </tp>
      <tp>
        <v>0.12</v>
        <stp/>
        <stp>##V3_BDHV12</stp>
        <stp>AMZN US Equity</stp>
        <stp>IS_BASIC_EPS_CONT_OPS</stp>
        <stp>FQ3 2003</stp>
        <stp>FQ3 2003</stp>
        <stp>[FA1_j2ahgkxc.xlsx]Per Share!R16C21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6" s="5"/>
      </tp>
      <tp>
        <v>-0.46</v>
        <stp/>
        <stp>##V3_BDHV12</stp>
        <stp>AMZN US Equity</stp>
        <stp>IS_BASIC_EPS_CONT_OPS</stp>
        <stp>FQ3 2001</stp>
        <stp>FQ3 2001</stp>
        <stp>[FA1_j2ahgkxc.xlsx]Per Share!R16C13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6" s="5"/>
      </tp>
      <tp>
        <v>-69</v>
        <stp/>
        <stp>##V3_BDHV12</stp>
        <stp>AMZN US Equity</stp>
        <stp>ACQUIS_FXD_&amp;_INTANG_DETAILED</stp>
        <stp>FQ2 2008</stp>
        <stp>FQ2 2008</stp>
        <stp>[FA1_j2ahgkxc.xlsx]Cash Flow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4"/>
      </tp>
      <tp>
        <v>343.88400000000001</v>
        <stp/>
        <stp>##V3_BDHV12</stp>
        <stp>AMZN US Equity</stp>
        <stp>IS_AVG_NUM_SH_FOR_EPS</stp>
        <stp>FQ1 2000</stp>
        <stp>FQ1 2000</stp>
        <stp>[FA1_j2ahgkxc.xlsx]Per Share!R8C8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5"/>
      </tp>
      <tp>
        <v>322</v>
        <stp/>
        <stp>##V3_BDHV12</stp>
        <stp>AMZN US Equity</stp>
        <stp>CF_FREE_CASH_FLOW</stp>
        <stp>FQ3 2008</stp>
        <stp>FQ3 2008</stp>
        <stp>[FA1_j2ahgkxc.xlsx]Cash Flow - Standardized!R49C41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9" s="4"/>
      </tp>
      <tp>
        <v>1076</v>
        <stp/>
        <stp>##V3_BDHV12</stp>
        <stp>AMZN US Equity</stp>
        <stp>CF_FREE_CASH_FLOW</stp>
        <stp>FQ4 2007</stp>
        <stp>FQ4 2007</stp>
        <stp>[FA1_j2ahgkxc.xlsx]Cash Flow - Standardized!R49C38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9" s="4"/>
      </tp>
      <tp>
        <v>0</v>
        <stp/>
        <stp>##V3_BDHV12</stp>
        <stp>AMZN US Equity</stp>
        <stp>IS_TOT_CASH_COM_DVD</stp>
        <stp>FQ4 2002</stp>
        <stp>FQ4 2002</stp>
        <stp>[FA1_j2ahgkxc.xlsx]Income - Adjusted!R55C18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2"/>
      </tp>
      <tp>
        <v>0</v>
        <stp/>
        <stp>##V3_BDHV12</stp>
        <stp>AMZN US Equity</stp>
        <stp>IS_TOT_CASH_COM_DVD</stp>
        <stp>FQ1 2004</stp>
        <stp>FQ1 2004</stp>
        <stp>[FA1_j2ahgkxc.xlsx]Income - Adjusted!R55C23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2"/>
      </tp>
      <tp>
        <v>574</v>
        <stp/>
        <stp>##V3_BDHV12</stp>
        <stp>AMZN US Equity</stp>
        <stp>CF_FREE_CASH_FLOW</stp>
        <stp>FQ4 2005</stp>
        <stp>FQ4 2005</stp>
        <stp>[FA1_j2ahgkxc.xlsx]Cash Flow - Standardized!R49C30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9" s="4"/>
      </tp>
      <tp>
        <v>0</v>
        <stp/>
        <stp>##V3_BDHV12</stp>
        <stp>AMZN US Equity</stp>
        <stp>IS_TOT_CASH_COM_DVD</stp>
        <stp>FQ2 2006</stp>
        <stp>FQ2 2006</stp>
        <stp>[FA1_j2ahgkxc.xlsx]Income - Adjusted!R55C32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2"/>
      </tp>
      <tp>
        <v>695</v>
        <stp/>
        <stp>##V3_BDHV12</stp>
        <stp>AMZN US Equity</stp>
        <stp>CF_FREE_CASH_FLOW</stp>
        <stp>FQ4 2006</stp>
        <stp>FQ4 2006</stp>
        <stp>[FA1_j2ahgkxc.xlsx]Cash Flow - Standardized!R49C34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9" s="4"/>
      </tp>
      <tp>
        <v>0</v>
        <stp/>
        <stp>##V3_BDHV12</stp>
        <stp>AMZN US Equity</stp>
        <stp>IS_TOT_CASH_COM_DVD</stp>
        <stp>FQ3 2007</stp>
        <stp>FQ3 2007</stp>
        <stp>[FA1_j2ahgkxc.xlsx]Income - Adjusted!R55C37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2"/>
      </tp>
      <tp>
        <v>0</v>
        <stp/>
        <stp>##V3_BDHV12</stp>
        <stp>AMZN US Equity</stp>
        <stp>CF_DECR_CAP_STOCK</stp>
        <stp>FQ1 2003</stp>
        <stp>FQ1 2003</stp>
        <stp>[FA1_j2ahgkxc.xlsx]Cash Flow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4"/>
      </tp>
      <tp>
        <v>116.352</v>
        <stp/>
        <stp>##V3_BDHV12</stp>
        <stp>AMZN US Equity</stp>
        <stp>INC_DEC_IN_OT_OP_AST_LIAB_DETAIL</stp>
        <stp>FQ2 2001</stp>
        <stp>FQ2 2001</stp>
        <stp>[FA1_j2ahgkxc.xlsx]Cash Flow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4"/>
      </tp>
      <tp>
        <v>0</v>
        <stp/>
        <stp>##V3_BDHV12</stp>
        <stp>AMZN US Equity</stp>
        <stp>IS_TOT_CASH_PFD_DVD</stp>
        <stp>FQ4 2002</stp>
        <stp>FQ4 2002</stp>
        <stp>[FA1_j2ahgkxc.xlsx]Income - Adjusted!R27C18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2"/>
      </tp>
      <tp>
        <v>-513</v>
        <stp/>
        <stp>##V3_BDHV12</stp>
        <stp>AMZN US Equity</stp>
        <stp>INC_DEC_IN_OT_OP_AST_LIAB_DETAIL</stp>
        <stp>FQ1 2005</stp>
        <stp>FQ1 2005</stp>
        <stp>[FA1_j2ahgkxc.xlsx]Cash Flow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4"/>
      </tp>
      <tp>
        <v>0</v>
        <stp/>
        <stp>##V3_BDHV12</stp>
        <stp>AMZN US Equity</stp>
        <stp>CF_DECR_CAP_STOCK</stp>
        <stp>FQ2 2005</stp>
        <stp>FQ2 2005</stp>
        <stp>[FA1_j2ahgkxc.xlsx]Cash Flow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4"/>
      </tp>
      <tp>
        <v>-100</v>
        <stp/>
        <stp>##V3_BDHV12</stp>
        <stp>AMZN US Equity</stp>
        <stp>CF_DECR_CAP_STOCK</stp>
        <stp>FQ4 2008</stp>
        <stp>FQ4 2008</stp>
        <stp>[FA1_j2ahgkxc.xlsx]Cash Flow - Standardized!R35C42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4"/>
      </tp>
      <tp>
        <v>-389.24</v>
        <stp/>
        <stp>##V3_BDHV12</stp>
        <stp>AMZN US Equity</stp>
        <stp>INC_DEC_IN_OT_OP_AST_LIAB_DETAIL</stp>
        <stp>FQ1 2004</stp>
        <stp>FQ1 2004</stp>
        <stp>[FA1_j2ahgkxc.xlsx]Cash Flow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4"/>
      </tp>
      <tp>
        <v>-18.951000000000001</v>
        <stp/>
        <stp>##V3_BDHV12</stp>
        <stp>AMZN US Equity</stp>
        <stp>INC_DEC_IN_OT_OP_AST_LIAB_DETAIL</stp>
        <stp>FQ2 2002</stp>
        <stp>FQ2 2002</stp>
        <stp>[FA1_j2ahgkxc.xlsx]Cash Flow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4"/>
      </tp>
      <tp>
        <v>0</v>
        <stp/>
        <stp>##V3_BDHV12</stp>
        <stp>AMZN US Equity</stp>
        <stp>CF_DECR_CAP_STOCK</stp>
        <stp>FQ3 2007</stp>
        <stp>FQ3 2007</stp>
        <stp>[FA1_j2ahgkxc.xlsx]Cash Flow - Standardized!R35C37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4"/>
      </tp>
      <tp>
        <v>0</v>
        <stp/>
        <stp>##V3_BDHV12</stp>
        <stp>AMZN US Equity</stp>
        <stp>CF_DECR_CAP_STOCK</stp>
        <stp>FQ2 2004</stp>
        <stp>FQ2 2004</stp>
        <stp>[FA1_j2ahgkxc.xlsx]Cash Flow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4"/>
      </tp>
      <tp>
        <v>0</v>
        <stp/>
        <stp>##V3_BDHV12</stp>
        <stp>AMZN US Equity</stp>
        <stp>CF_DECR_CAP_STOCK</stp>
        <stp>FQ1 2001</stp>
        <stp>FQ1 2001</stp>
        <stp>[FA1_j2ahgkxc.xlsx]Cash Flow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4"/>
      </tp>
      <tp>
        <v>0</v>
        <stp/>
        <stp>##V3_BDHV12</stp>
        <stp>AMZN US Equity</stp>
        <stp>CF_DECR_CAP_STOCK</stp>
        <stp>FQ2 2003</stp>
        <stp>FQ2 2003</stp>
        <stp>[FA1_j2ahgkxc.xlsx]Cash Flow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4"/>
      </tp>
      <tp>
        <v>0</v>
        <stp/>
        <stp>##V3_BDHV12</stp>
        <stp>AMZN US Equity</stp>
        <stp>IS_TOT_CASH_PFD_DVD</stp>
        <stp>FQ3 2007</stp>
        <stp>FQ3 2007</stp>
        <stp>[FA1_j2ahgkxc.xlsx]Income - Adjusted!R27C37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2"/>
      </tp>
      <tp>
        <v>217.476</v>
        <stp/>
        <stp>##V3_BDHV12</stp>
        <stp>AMZN US Equity</stp>
        <stp>BS_NET_FIX_ASSET</stp>
        <stp>FQ1 2004</stp>
        <stp>FQ1 2004</stp>
        <stp>[FA1_j2ahgkxc.xlsx]Bal Sheet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3"/>
      </tp>
      <tp>
        <v>249.452</v>
        <stp/>
        <stp>##V3_BDHV12</stp>
        <stp>AMZN US Equity</stp>
        <stp>BS_NET_FIX_ASSET</stp>
        <stp>FQ2 2002</stp>
        <stp>FQ2 2002</stp>
        <stp>[FA1_j2ahgkxc.xlsx]Bal Sheet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3"/>
      </tp>
      <tp>
        <v>0</v>
        <stp/>
        <stp>##V3_BDHV12</stp>
        <stp>AMZN US Equity</stp>
        <stp>IS_TOT_CASH_PFD_DVD</stp>
        <stp>FQ1 2004</stp>
        <stp>FQ1 2004</stp>
        <stp>[FA1_j2ahgkxc.xlsx]Income - Adjusted!R27C23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2"/>
      </tp>
      <tp>
        <v>292.42200000000003</v>
        <stp/>
        <stp>##V3_BDHV12</stp>
        <stp>AMZN US Equity</stp>
        <stp>BS_NET_FIX_ASSET</stp>
        <stp>FQ2 2001</stp>
        <stp>FQ2 2001</stp>
        <stp>[FA1_j2ahgkxc.xlsx]Bal Sheet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3"/>
      </tp>
      <tp>
        <v>-252</v>
        <stp/>
        <stp>##V3_BDHV12</stp>
        <stp>AMZN US Equity</stp>
        <stp>CF_DECR_CAP_STOCK</stp>
        <stp>FQ3 2006</stp>
        <stp>FQ3 2006</stp>
        <stp>[FA1_j2ahgkxc.xlsx]Cash Flow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4"/>
      </tp>
      <tp>
        <v>0</v>
        <stp/>
        <stp>##V3_BDHV12</stp>
        <stp>AMZN US Equity</stp>
        <stp>CF_DECR_CAP_STOCK</stp>
        <stp>FQ1 2002</stp>
        <stp>FQ1 2002</stp>
        <stp>[FA1_j2ahgkxc.xlsx]Cash Flow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4"/>
      </tp>
      <tp>
        <v>245</v>
        <stp/>
        <stp>##V3_BDHV12</stp>
        <stp>AMZN US Equity</stp>
        <stp>BS_NET_FIX_ASSET</stp>
        <stp>FQ1 2005</stp>
        <stp>FQ1 2005</stp>
        <stp>[FA1_j2ahgkxc.xlsx]Bal Sheet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3"/>
      </tp>
      <tp>
        <v>0</v>
        <stp/>
        <stp>##V3_BDHV12</stp>
        <stp>AMZN US Equity</stp>
        <stp>IS_TOT_CASH_PFD_DVD</stp>
        <stp>FQ2 2006</stp>
        <stp>FQ2 2006</stp>
        <stp>[FA1_j2ahgkxc.xlsx]Income - Adjusted!R27C32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2"/>
      </tp>
      <tp>
        <v>376.93700000000001</v>
        <stp/>
        <stp>##V3_BDHV12</stp>
        <stp>AMZN US Equity</stp>
        <stp>IS_AVG_NUM_SH_FOR_EPS</stp>
        <stp>FQ2 2002</stp>
        <stp>FQ2 2002</stp>
        <stp>[FA1_j2ahgkxc.xlsx]Income - Adjusted!R34C16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4" s="2"/>
      </tp>
      <tp>
        <v>418</v>
        <stp/>
        <stp>##V3_BDHV12</stp>
        <stp>AMZN US Equity</stp>
        <stp>IS_AVG_NUM_SH_FOR_EPS</stp>
        <stp>FQ2 2006</stp>
        <stp>FQ2 2006</stp>
        <stp>[FA1_j2ahgkxc.xlsx]Income - Adjusted!R34C32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4" s="2"/>
      </tp>
      <tp>
        <v>-7.4000000000000003E-3</v>
        <stp/>
        <stp>##V3_BDHV12</stp>
        <stp>AMZN US Equity</stp>
        <stp>FREE_CASH_FLOW_PER_SH</stp>
        <stp>FQ2 2002</stp>
        <stp>FQ2 2002</stp>
        <stp>[FA1_j2ahgkxc.xlsx]Per Share!R23C16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3" s="5"/>
      </tp>
      <tp>
        <v>0.17219999999999999</v>
        <stp/>
        <stp>##V3_BDHV12</stp>
        <stp>AMZN US Equity</stp>
        <stp>FREE_CASH_FLOW_PER_SH</stp>
        <stp>FQ2 2006</stp>
        <stp>FQ2 2006</stp>
        <stp>[FA1_j2ahgkxc.xlsx]Per Share!R23C32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3" s="5"/>
      </tp>
      <tp>
        <v>-50</v>
        <stp/>
        <stp>##V3_BDHV12</stp>
        <stp>AMZN US Equity</stp>
        <stp>ACQUIS_FXD_&amp;_INTANG_DETAILED</stp>
        <stp>FQ4 2006</stp>
        <stp>FQ4 2006</stp>
        <stp>[FA1_j2ahgkxc.xlsx]Cash Flow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4"/>
      </tp>
      <tp t="s">
        <v>—</v>
        <stp/>
        <stp>##V3_BDHV12</stp>
        <stp>AMZN US Equity</stp>
        <stp>IS_NET_INTEREST_EXPENSE</stp>
        <stp>FQ3 2003</stp>
        <stp>FQ3 2003</stp>
        <stp>[FA1_j2ahgkxc.xlsx]Income - Adjusted!R13C21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>
        <v>28.73</v>
        <stp/>
        <stp>##V3_BDHV12</stp>
        <stp>AMZN US Equity</stp>
        <stp>IS_NET_INTEREST_EXPENSE</stp>
        <stp>FQ3 2001</stp>
        <stp>FQ3 2001</stp>
        <stp>[FA1_j2ahgkxc.xlsx]Income - Adjusted!R13C13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>
        <v>-1</v>
        <stp/>
        <stp>##V3_BDHV12</stp>
        <stp>AMZN US Equity</stp>
        <stp>IS_NET_INTEREST_EXPENSE</stp>
        <stp>FQ1 2007</stp>
        <stp>FQ1 2007</stp>
        <stp>[FA1_j2ahgkxc.xlsx]Income - Adjusted!R13C35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>
        <v>17</v>
        <stp/>
        <stp>##V3_BDHV12</stp>
        <stp>AMZN US Equity</stp>
        <stp>IS_NET_INTEREST_EXPENSE</stp>
        <stp>FQ1 2005</stp>
        <stp>FQ1 2005</stp>
        <stp>[FA1_j2ahgkxc.xlsx]Income - Adjusted!R13C27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 t="s">
        <v>—</v>
        <stp/>
        <stp>##V3_BDHV12</stp>
        <stp>AMZN US Equity</stp>
        <stp>IS_NET_INTEREST_EXPENSE</stp>
        <stp>FQ4 2006</stp>
        <stp>FQ4 2006</stp>
        <stp>[FA1_j2ahgkxc.xlsx]Income - Adjusted!R13C34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 t="s">
        <v>—</v>
        <stp/>
        <stp>##V3_BDHV12</stp>
        <stp>AMZN US Equity</stp>
        <stp>IS_NET_INTEREST_EXPENSE</stp>
        <stp>FQ4 2004</stp>
        <stp>FQ4 2004</stp>
        <stp>[FA1_j2ahgkxc.xlsx]Income - Adjusted!R13C26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>
        <v>-56</v>
        <stp/>
        <stp>##V3_BDHV12</stp>
        <stp>AMZN US Equity</stp>
        <stp>ACQUIS_FXD_&amp;_INTANG_DETAILED</stp>
        <stp>FQ4 2005</stp>
        <stp>FQ4 2005</stp>
        <stp>[FA1_j2ahgkxc.xlsx]Cash Flow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4"/>
      </tp>
      <tp>
        <v>-93.552999999999997</v>
        <stp/>
        <stp>##V3_BDHV12</stp>
        <stp>AMZN US Equity</stp>
        <stp>EARN_FOR_COMMON</stp>
        <stp>FQ2 2002</stp>
        <stp>FQ2 2002</stp>
        <stp>[FA1_j2ahgkxc.xlsx]Income - Adjusted!R31C16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31" s="2"/>
      </tp>
      <tp>
        <v>22</v>
        <stp/>
        <stp>##V3_BDHV12</stp>
        <stp>AMZN US Equity</stp>
        <stp>EARN_FOR_COMMON</stp>
        <stp>FQ2 2006</stp>
        <stp>FQ2 2006</stp>
        <stp>[FA1_j2ahgkxc.xlsx]Income - Adjusted!R31C32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31" s="2"/>
      </tp>
      <tp>
        <v>338.38900000000001</v>
        <stp/>
        <stp>##V3_BDHV12</stp>
        <stp>AMZN US Equity</stp>
        <stp>IS_SH_FOR_DILUTED_EPS</stp>
        <stp>FQ4 1999</stp>
        <stp>FQ4 1999</stp>
        <stp>[FA1_j2ahgkxc.xlsx]Per Share!R7C7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5"/>
      </tp>
      <tp>
        <v>-0.16</v>
        <stp/>
        <stp>##V3_BDHV12</stp>
        <stp>AMZN US Equity</stp>
        <stp>IS_BASIC_EPS_CONT_OPS</stp>
        <stp>FQ2 2001</stp>
        <stp>FQ2 2001</stp>
        <stp>[FA1_j2ahgkxc.xlsx]Per Share!R16C12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6" s="5"/>
      </tp>
      <tp>
        <v>0.11</v>
        <stp/>
        <stp>##V3_BDHV12</stp>
        <stp>AMZN US Equity</stp>
        <stp>IS_BASIC_EPS_CONT_OPS</stp>
        <stp>FQ2 2003</stp>
        <stp>FQ2 2003</stp>
        <stp>[FA1_j2ahgkxc.xlsx]Per Share!R16C20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6" s="5"/>
      </tp>
      <tp>
        <v>-102</v>
        <stp/>
        <stp>##V3_BDHV12</stp>
        <stp>AMZN US Equity</stp>
        <stp>ACQUIS_FXD_&amp;_INTANG_DETAILED</stp>
        <stp>FQ3 2008</stp>
        <stp>FQ3 2008</stp>
        <stp>[FA1_j2ahgkxc.xlsx]Cash Flow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4"/>
      </tp>
      <tp>
        <v>-73</v>
        <stp/>
        <stp>##V3_BDHV12</stp>
        <stp>AMZN US Equity</stp>
        <stp>ACQUIS_FXD_&amp;_INTANG_DETAILED</stp>
        <stp>FQ4 2007</stp>
        <stp>FQ4 2007</stp>
        <stp>[FA1_j2ahgkxc.xlsx]Cash Flow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4"/>
      </tp>
      <tp>
        <v>0</v>
        <stp/>
        <stp>##V3_BDHV12</stp>
        <stp>AMZN US Equity</stp>
        <stp>EQY_DPS</stp>
        <stp>FQ4 2002</stp>
        <stp>FQ4 2002</stp>
        <stp>[FA1_j2ahgkxc.xlsx]Per Share!R20C18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0" s="5"/>
      </tp>
      <tp>
        <v>0</v>
        <stp/>
        <stp>##V3_BDHV12</stp>
        <stp>AMZN US Equity</stp>
        <stp>EQY_DPS</stp>
        <stp>FQ4 2008</stp>
        <stp>FQ4 2008</stp>
        <stp>[FA1_j2ahgkxc.xlsx]Per Share!R20C42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0" s="5"/>
      </tp>
      <tp>
        <v>0</v>
        <stp/>
        <stp>##V3_BDHV12</stp>
        <stp>AMZN US Equity</stp>
        <stp>EQY_DPS</stp>
        <stp>FQ1 2003</stp>
        <stp>FQ1 2003</stp>
        <stp>[FA1_j2ahgkxc.xlsx]Per Share!R20C19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0" s="5"/>
      </tp>
      <tp>
        <v>271</v>
        <stp/>
        <stp>##V3_BDHV12</stp>
        <stp>AMZN US Equity</stp>
        <stp>EBITA</stp>
        <stp>FQ4 2007</stp>
        <stp>FQ4 2007</stp>
        <stp>[FA1_j2ahgkxc.xlsx]Income - Adjusted!R48C38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8" s="2"/>
      </tp>
      <tp>
        <v>-1833.3019999999999</v>
        <stp/>
        <stp>##V3_BDHV12</stp>
        <stp>AMZN US Equity</stp>
        <stp>OTHER_INS_RES_TO_SHRHLDR_EQY</stp>
        <stp>FQ3 2000</stp>
        <stp>FQ3 2000</stp>
        <stp>[FA1_j2ahgkxc.xlsx]Bal Sheet - Standardized!R51C9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1" s="3"/>
      </tp>
      <tp>
        <v>318.53399999999999</v>
        <stp/>
        <stp>##V3_BDHV12</stp>
        <stp>AMZN US Equity</stp>
        <stp>EQY_SH_OUT</stp>
        <stp>FQ1 1999</stp>
        <stp>FQ1 1999</stp>
        <stp>[FA1_j2ahgkxc.xlsx]Stock Value!R13C3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3" s="6"/>
      </tp>
      <tp>
        <v>355.86399999999998</v>
        <stp/>
        <stp>##V3_BDHV12</stp>
        <stp>AMZN US Equity</stp>
        <stp>EQY_SH_OUT</stp>
        <stp>FQ3 2000</stp>
        <stp>FQ3 2000</stp>
        <stp>[FA1_j2ahgkxc.xlsx]Stock Value!R13C9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3" s="6"/>
      </tp>
      <tp>
        <v>0</v>
        <stp/>
        <stp>##V3_BDHV12</stp>
        <stp>AMZN US Equity</stp>
        <stp>IS_TOT_CASH_COM_DVD</stp>
        <stp>FQ3 2005</stp>
        <stp>FQ3 2005</stp>
        <stp>[FA1_j2ahgkxc.xlsx]Income - Adjusted!R55C29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2"/>
      </tp>
      <tp>
        <v>0</v>
        <stp/>
        <stp>##V3_BDHV12</stp>
        <stp>AMZN US Equity</stp>
        <stp>IS_TOT_CASH_COM_DVD</stp>
        <stp>FQ1 2006</stp>
        <stp>FQ1 2006</stp>
        <stp>[FA1_j2ahgkxc.xlsx]Income - Adjusted!R55C31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2"/>
      </tp>
      <tp>
        <v>0</v>
        <stp/>
        <stp>##V3_BDHV12</stp>
        <stp>AMZN US Equity</stp>
        <stp>IS_TOT_CASH_COM_DVD</stp>
        <stp>FQ4 2001</stp>
        <stp>FQ4 2001</stp>
        <stp>[FA1_j2ahgkxc.xlsx]Income - Adjusted!R55C14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2"/>
      </tp>
      <tp>
        <v>0</v>
        <stp/>
        <stp>##V3_BDHV12</stp>
        <stp>AMZN US Equity</stp>
        <stp>IS_TOT_CASH_COM_DVD</stp>
        <stp>FQ2 2004</stp>
        <stp>FQ2 2004</stp>
        <stp>[FA1_j2ahgkxc.xlsx]Income - Adjusted!R55C24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2"/>
      </tp>
      <tp>
        <v>63.058</v>
        <stp/>
        <stp>##V3_BDHV12</stp>
        <stp>AMZN US Equity</stp>
        <stp>INC_DEC_IN_OT_OP_AST_LIAB_DETAIL</stp>
        <stp>FQ2 2003</stp>
        <stp>FQ2 2003</stp>
        <stp>[FA1_j2ahgkxc.xlsx]Cash Flow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4"/>
      </tp>
      <tp>
        <v>-274.72500000000002</v>
        <stp/>
        <stp>##V3_BDHV12</stp>
        <stp>AMZN US Equity</stp>
        <stp>INC_DEC_IN_OT_OP_AST_LIAB_DETAIL</stp>
        <stp>FQ1 2001</stp>
        <stp>FQ1 2001</stp>
        <stp>[FA1_j2ahgkxc.xlsx]Cash Flow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4"/>
      </tp>
      <tp>
        <v>0</v>
        <stp/>
        <stp>##V3_BDHV12</stp>
        <stp>AMZN US Equity</stp>
        <stp>IS_TOT_CASH_COM_DVD</stp>
        <stp>FQ3 2000</stp>
        <stp>FQ3 2000</stp>
        <stp>[FA1_j2ahgkxc.xlsx]Income - Adjusted!R55C9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2"/>
      </tp>
      <tp>
        <v>56.984999999999999</v>
        <stp/>
        <stp>##V3_BDHV12</stp>
        <stp>AMZN US Equity</stp>
        <stp>INC_DEC_IN_OT_OP_AST_LIAB_DETAIL</stp>
        <stp>FQ2 2004</stp>
        <stp>FQ2 2004</stp>
        <stp>[FA1_j2ahgkxc.xlsx]Cash Flow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4"/>
      </tp>
      <tp>
        <v>267</v>
        <stp/>
        <stp>##V3_BDHV12</stp>
        <stp>AMZN US Equity</stp>
        <stp>BS_NET_FIX_ASSET</stp>
        <stp>FQ2 2005</stp>
        <stp>FQ2 2005</stp>
        <stp>[FA1_j2ahgkxc.xlsx]Bal Sheet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3"/>
      </tp>
      <tp>
        <v>371</v>
        <stp/>
        <stp>##V3_BDHV12</stp>
        <stp>AMZN US Equity</stp>
        <stp>INC_DEC_IN_OT_OP_AST_LIAB_DETAIL</stp>
        <stp>FQ3 2007</stp>
        <stp>FQ3 2007</stp>
        <stp>[FA1_j2ahgkxc.xlsx]Cash Flow - Standardized!R17C37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4"/>
      </tp>
      <tp>
        <v>854</v>
        <stp/>
        <stp>##V3_BDHV12</stp>
        <stp>AMZN US Equity</stp>
        <stp>BS_NET_FIX_ASSET</stp>
        <stp>FQ4 2008</stp>
        <stp>FQ4 2008</stp>
        <stp>[FA1_j2ahgkxc.xlsx]Bal Sheet - Standardized!R19C42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9" s="3"/>
      </tp>
      <tp>
        <v>31</v>
        <stp/>
        <stp>##V3_BDHV12</stp>
        <stp>AMZN US Equity</stp>
        <stp>INC_DEC_IN_OT_OP_AST_LIAB_DETAIL</stp>
        <stp>FQ3 2006</stp>
        <stp>FQ3 2006</stp>
        <stp>[FA1_j2ahgkxc.xlsx]Cash Flow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4"/>
      </tp>
      <tp>
        <v>-253.845</v>
        <stp/>
        <stp>##V3_BDHV12</stp>
        <stp>AMZN US Equity</stp>
        <stp>INC_DEC_IN_OT_OP_AST_LIAB_DETAIL</stp>
        <stp>FQ1 2002</stp>
        <stp>FQ1 2002</stp>
        <stp>[FA1_j2ahgkxc.xlsx]Cash Flow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4"/>
      </tp>
      <tp>
        <v>228.279</v>
        <stp/>
        <stp>##V3_BDHV12</stp>
        <stp>AMZN US Equity</stp>
        <stp>BS_NET_FIX_ASSET</stp>
        <stp>FQ1 2003</stp>
        <stp>FQ1 2003</stp>
        <stp>[FA1_j2ahgkxc.xlsx]Bal Sheet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3"/>
      </tp>
      <tp>
        <v>0</v>
        <stp/>
        <stp>##V3_BDHV12</stp>
        <stp>AMZN US Equity</stp>
        <stp>IS_TOT_CASH_PFD_DVD</stp>
        <stp>FQ3 2005</stp>
        <stp>FQ3 2005</stp>
        <stp>[FA1_j2ahgkxc.xlsx]Income - Adjusted!R27C29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2"/>
      </tp>
      <tp>
        <v>0</v>
        <stp/>
        <stp>##V3_BDHV12</stp>
        <stp>AMZN US Equity</stp>
        <stp>CF_DECR_CAP_STOCK</stp>
        <stp>FQ1 2005</stp>
        <stp>FQ1 2005</stp>
        <stp>[FA1_j2ahgkxc.xlsx]Cash Flow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4"/>
      </tp>
      <tp>
        <v>0</v>
        <stp/>
        <stp>##V3_BDHV12</stp>
        <stp>AMZN US Equity</stp>
        <stp>CF_DECR_CAP_STOCK</stp>
        <stp>FQ2 2001</stp>
        <stp>FQ2 2001</stp>
        <stp>[FA1_j2ahgkxc.xlsx]Cash Flow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4"/>
      </tp>
      <tp>
        <v>-373.63499999999999</v>
        <stp/>
        <stp>##V3_BDHV12</stp>
        <stp>AMZN US Equity</stp>
        <stp>INC_DEC_IN_OT_OP_AST_LIAB_DETAIL</stp>
        <stp>FQ1 2003</stp>
        <stp>FQ1 2003</stp>
        <stp>[FA1_j2ahgkxc.xlsx]Cash Flow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4"/>
      </tp>
      <tp>
        <v>0</v>
        <stp/>
        <stp>##V3_BDHV12</stp>
        <stp>AMZN US Equity</stp>
        <stp>IS_TOT_CASH_PFD_DVD</stp>
        <stp>FQ2 2004</stp>
        <stp>FQ2 2004</stp>
        <stp>[FA1_j2ahgkxc.xlsx]Income - Adjusted!R27C24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2"/>
      </tp>
      <tp>
        <v>449</v>
        <stp/>
        <stp>##V3_BDHV12</stp>
        <stp>AMZN US Equity</stp>
        <stp>BS_NET_FIX_ASSET</stp>
        <stp>FQ3 2006</stp>
        <stp>FQ3 2006</stp>
        <stp>[FA1_j2ahgkxc.xlsx]Bal Sheet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3"/>
      </tp>
      <tp>
        <v>256.40300000000002</v>
        <stp/>
        <stp>##V3_BDHV12</stp>
        <stp>AMZN US Equity</stp>
        <stp>BS_NET_FIX_ASSET</stp>
        <stp>FQ1 2002</stp>
        <stp>FQ1 2002</stp>
        <stp>[FA1_j2ahgkxc.xlsx]Bal Sheet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3"/>
      </tp>
      <tp>
        <v>0</v>
        <stp/>
        <stp>##V3_BDHV12</stp>
        <stp>AMZN US Equity</stp>
        <stp>IS_TOT_CASH_PFD_DVD</stp>
        <stp>FQ1 2006</stp>
        <stp>FQ1 2006</stp>
        <stp>[FA1_j2ahgkxc.xlsx]Income - Adjusted!R27C31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2"/>
      </tp>
      <tp>
        <v>221.67400000000001</v>
        <stp/>
        <stp>##V3_BDHV12</stp>
        <stp>AMZN US Equity</stp>
        <stp>BS_NET_FIX_ASSET</stp>
        <stp>FQ2 2003</stp>
        <stp>FQ2 2003</stp>
        <stp>[FA1_j2ahgkxc.xlsx]Bal Sheet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3"/>
      </tp>
      <tp>
        <v>304.17899999999997</v>
        <stp/>
        <stp>##V3_BDHV12</stp>
        <stp>AMZN US Equity</stp>
        <stp>BS_NET_FIX_ASSET</stp>
        <stp>FQ1 2001</stp>
        <stp>FQ1 2001</stp>
        <stp>[FA1_j2ahgkxc.xlsx]Bal Sheet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3"/>
      </tp>
      <tp>
        <v>0</v>
        <stp/>
        <stp>##V3_BDHV12</stp>
        <stp>AMZN US Equity</stp>
        <stp>CF_DECR_CAP_STOCK</stp>
        <stp>FQ1 2004</stp>
        <stp>FQ1 2004</stp>
        <stp>[FA1_j2ahgkxc.xlsx]Cash Flow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4"/>
      </tp>
      <tp>
        <v>0</v>
        <stp/>
        <stp>##V3_BDHV12</stp>
        <stp>AMZN US Equity</stp>
        <stp>CF_DECR_CAP_STOCK</stp>
        <stp>FQ2 2002</stp>
        <stp>FQ2 2002</stp>
        <stp>[FA1_j2ahgkxc.xlsx]Cash Flow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4"/>
      </tp>
      <tp>
        <v>247</v>
        <stp/>
        <stp>##V3_BDHV12</stp>
        <stp>AMZN US Equity</stp>
        <stp>INC_DEC_IN_OT_OP_AST_LIAB_DETAIL</stp>
        <stp>FQ4 2008</stp>
        <stp>FQ4 2008</stp>
        <stp>[FA1_j2ahgkxc.xlsx]Cash Flow - Standardized!R17C42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4"/>
      </tp>
      <tp>
        <v>0</v>
        <stp/>
        <stp>##V3_BDHV12</stp>
        <stp>AMZN US Equity</stp>
        <stp>IS_TOT_CASH_PFD_DVD</stp>
        <stp>FQ4 2001</stp>
        <stp>FQ4 2001</stp>
        <stp>[FA1_j2ahgkxc.xlsx]Income - Adjusted!R27C14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2"/>
      </tp>
      <tp>
        <v>491</v>
        <stp/>
        <stp>##V3_BDHV12</stp>
        <stp>AMZN US Equity</stp>
        <stp>BS_NET_FIX_ASSET</stp>
        <stp>FQ3 2007</stp>
        <stp>FQ3 2007</stp>
        <stp>[FA1_j2ahgkxc.xlsx]Bal Sheet - Standardized!R19C37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9" s="3"/>
      </tp>
      <tp>
        <v>0</v>
        <stp/>
        <stp>##V3_BDHV12</stp>
        <stp>AMZN US Equity</stp>
        <stp>IS_TOT_CASH_COM_DVD</stp>
        <stp>FQ3 1999</stp>
        <stp>FQ3 1999</stp>
        <stp>[FA1_j2ahgkxc.xlsx]Income - Adjusted!R55C6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2"/>
      </tp>
      <tp>
        <v>89</v>
        <stp/>
        <stp>##V3_BDHV12</stp>
        <stp>AMZN US Equity</stp>
        <stp>INC_DEC_IN_OT_OP_AST_LIAB_DETAIL</stp>
        <stp>FQ2 2005</stp>
        <stp>FQ2 2005</stp>
        <stp>[FA1_j2ahgkxc.xlsx]Cash Flow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4"/>
      </tp>
      <tp>
        <v>215.87100000000001</v>
        <stp/>
        <stp>##V3_BDHV12</stp>
        <stp>AMZN US Equity</stp>
        <stp>BS_NET_FIX_ASSET</stp>
        <stp>FQ2 2004</stp>
        <stp>FQ2 2004</stp>
        <stp>[FA1_j2ahgkxc.xlsx]Bal Sheet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3"/>
      </tp>
      <tp t="s">
        <v>—</v>
        <stp/>
        <stp>##V3_BDHV12</stp>
        <stp>AMZN US Equity</stp>
        <stp>IS_SG&amp;A_EXPENSE</stp>
        <stp>FQ2 2008</stp>
        <stp>FQ2 2008</stp>
        <stp>[FA1_j2ahgkxc.xlsx]Income - Adjusted!R10C40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0" s="2"/>
      </tp>
      <tp>
        <v>373.03100000000001</v>
        <stp/>
        <stp>##V3_BDHV12</stp>
        <stp>AMZN US Equity</stp>
        <stp>IS_AVG_NUM_SH_FOR_EPS</stp>
        <stp>FQ1 2002</stp>
        <stp>FQ1 2002</stp>
        <stp>[FA1_j2ahgkxc.xlsx]Income - Adjusted!R34C15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4" s="2"/>
      </tp>
      <tp>
        <v>417</v>
        <stp/>
        <stp>##V3_BDHV12</stp>
        <stp>AMZN US Equity</stp>
        <stp>IS_AVG_NUM_SH_FOR_EPS</stp>
        <stp>FQ1 2006</stp>
        <stp>FQ1 2006</stp>
        <stp>[FA1_j2ahgkxc.xlsx]Income - Adjusted!R34C31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4" s="2"/>
      </tp>
      <tp>
        <v>403.54199999999997</v>
        <stp/>
        <stp>##V3_BDHV12</stp>
        <stp>AMZN US Equity</stp>
        <stp>IS_AVG_NUM_SH_FOR_EPS</stp>
        <stp>FQ1 2004</stp>
        <stp>FQ1 2004</stp>
        <stp>[FA1_j2ahgkxc.xlsx]Income - Adjusted!R34C23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4" s="2"/>
      </tp>
      <tp>
        <v>-138.00800000000001</v>
        <stp/>
        <stp>##V3_BDHV12</stp>
        <stp>AMZN US Equity</stp>
        <stp>EARN_FOR_COMMON</stp>
        <stp>FQ2 1999</stp>
        <stp>FQ2 1999</stp>
        <stp>[FA1_j2ahgkxc.xlsx]Income - Adjusted!R31C5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31" s="2"/>
      </tp>
      <tp>
        <v>-0.65920000000000001</v>
        <stp/>
        <stp>##V3_BDHV12</stp>
        <stp>AMZN US Equity</stp>
        <stp>FREE_CASH_FLOW_PER_SH</stp>
        <stp>FQ1 2002</stp>
        <stp>FQ1 2002</stp>
        <stp>[FA1_j2ahgkxc.xlsx]Per Share!R23C15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3" s="5"/>
      </tp>
      <tp>
        <v>-0.64480000000000004</v>
        <stp/>
        <stp>##V3_BDHV12</stp>
        <stp>AMZN US Equity</stp>
        <stp>FREE_CASH_FLOW_PER_SH</stp>
        <stp>FQ1 2004</stp>
        <stp>FQ1 2004</stp>
        <stp>[FA1_j2ahgkxc.xlsx]Per Share!R23C23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3" s="5"/>
      </tp>
      <tp>
        <v>-0.83689999999999998</v>
        <stp/>
        <stp>##V3_BDHV12</stp>
        <stp>AMZN US Equity</stp>
        <stp>FREE_CASH_FLOW_PER_SH</stp>
        <stp>FQ1 2006</stp>
        <stp>FQ1 2006</stp>
        <stp>[FA1_j2ahgkxc.xlsx]Per Share!R23C31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3" s="5"/>
      </tp>
      <tp t="s">
        <v>—</v>
        <stp/>
        <stp>##V3_BDHV12</stp>
        <stp>AMZN US Equity</stp>
        <stp>IS_NET_INTEREST_EXPENSE</stp>
        <stp>FQ2 2007</stp>
        <stp>FQ2 2007</stp>
        <stp>[FA1_j2ahgkxc.xlsx]Income - Adjusted!R13C36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 t="s">
        <v>—</v>
        <stp/>
        <stp>##V3_BDHV12</stp>
        <stp>AMZN US Equity</stp>
        <stp>IS_NET_INTEREST_EXPENSE</stp>
        <stp>FQ3 2004</stp>
        <stp>FQ3 2004</stp>
        <stp>[FA1_j2ahgkxc.xlsx]Income - Adjusted!R13C25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 t="s">
        <v>—</v>
        <stp/>
        <stp>##V3_BDHV12</stp>
        <stp>AMZN US Equity</stp>
        <stp>IS_NET_INTEREST_EXPENSE</stp>
        <stp>FQ1 2008</stp>
        <stp>FQ1 2008</stp>
        <stp>[FA1_j2ahgkxc.xlsx]Income - Adjusted!R13C39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3" s="2"/>
      </tp>
      <tp t="s">
        <v>—</v>
        <stp/>
        <stp>##V3_BDHV12</stp>
        <stp>AMZN US Equity</stp>
        <stp>IS_NET_INTEREST_EXPENSE</stp>
        <stp>FQ4 2003</stp>
        <stp>FQ4 2003</stp>
        <stp>[FA1_j2ahgkxc.xlsx]Income - Adjusted!R13C22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>
        <v>-23.15</v>
        <stp/>
        <stp>##V3_BDHV12</stp>
        <stp>AMZN US Equity</stp>
        <stp>EARN_FOR_COMMON</stp>
        <stp>FQ1 2002</stp>
        <stp>FQ1 2002</stp>
        <stp>[FA1_j2ahgkxc.xlsx]Income - Adjusted!R31C15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31" s="2"/>
      </tp>
      <tp>
        <v>111.136</v>
        <stp/>
        <stp>##V3_BDHV12</stp>
        <stp>AMZN US Equity</stp>
        <stp>EARN_FOR_COMMON</stp>
        <stp>FQ1 2004</stp>
        <stp>FQ1 2004</stp>
        <stp>[FA1_j2ahgkxc.xlsx]Income - Adjusted!R31C23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31" s="2"/>
      </tp>
      <tp>
        <v>51</v>
        <stp/>
        <stp>##V3_BDHV12</stp>
        <stp>AMZN US Equity</stp>
        <stp>EARN_FOR_COMMON</stp>
        <stp>FQ1 2006</stp>
        <stp>FQ1 2006</stp>
        <stp>[FA1_j2ahgkxc.xlsx]Income - Adjusted!R31C31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31" s="2"/>
      </tp>
      <tp>
        <v>-0.25</v>
        <stp/>
        <stp>##V3_BDHV12</stp>
        <stp>AMZN US Equity</stp>
        <stp>IS_BASIC_EPS_CONT_OPS</stp>
        <stp>FQ4 2000</stp>
        <stp>FQ4 2000</stp>
        <stp>[FA1_j2ahgkxc.xlsx]Per Share!R16C10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6" s="5"/>
      </tp>
      <tp>
        <v>-0.21</v>
        <stp/>
        <stp>##V3_BDHV12</stp>
        <stp>AMZN US Equity</stp>
        <stp>IS_BASIC_EPS_CONT_OPS</stp>
        <stp>FQ1 2001</stp>
        <stp>FQ1 2001</stp>
        <stp>[FA1_j2ahgkxc.xlsx]Per Share!R16C11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6" s="5"/>
      </tp>
      <tp>
        <v>0.19</v>
        <stp/>
        <stp>##V3_BDHV12</stp>
        <stp>AMZN US Equity</stp>
        <stp>IS_BASIC_EPS_CONT_OPS</stp>
        <stp>FQ3 2007</stp>
        <stp>FQ3 2007</stp>
        <stp>[FA1_j2ahgkxc.xlsx]Per Share!R16C37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6" s="5"/>
      </tp>
      <tp>
        <v>0.18</v>
        <stp/>
        <stp>##V3_BDHV12</stp>
        <stp>AMZN US Equity</stp>
        <stp>IS_BASIC_EPS_CONT_OPS</stp>
        <stp>FQ2 2004</stp>
        <stp>FQ2 2004</stp>
        <stp>[FA1_j2ahgkxc.xlsx]Per Share!R16C24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6" s="5"/>
      </tp>
      <tp>
        <v>0</v>
        <stp/>
        <stp>##V3_BDHV12</stp>
        <stp>AMZN US Equity</stp>
        <stp>EQY_DPS</stp>
        <stp>FQ3 2008</stp>
        <stp>FQ3 2008</stp>
        <stp>[FA1_j2ahgkxc.xlsx]Per Share!R20C41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0" s="5"/>
      </tp>
      <tp>
        <v>55</v>
        <stp/>
        <stp>##V3_BDHV12</stp>
        <stp>AMZN US Equity</stp>
        <stp>EBITA</stp>
        <stp>FQ3 2005</stp>
        <stp>FQ3 2005</stp>
        <stp>[FA1_j2ahgkxc.xlsx]Income - Adjusted!R48C29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8" s="2"/>
      </tp>
      <tp>
        <v>-1271.644</v>
        <stp/>
        <stp>##V3_BDHV12</stp>
        <stp>AMZN US Equity</stp>
        <stp>OTHER_INS_RES_TO_SHRHLDR_EQY</stp>
        <stp>FQ1 2000</stp>
        <stp>FQ1 2000</stp>
        <stp>[FA1_j2ahgkxc.xlsx]Bal Sheet - Standardized!R51C8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1" s="3"/>
      </tp>
      <tp>
        <v>-123</v>
        <stp/>
        <stp>##V3_BDHV12</stp>
        <stp>AMZN US Equity</stp>
        <stp>OTHER_INS_RES_TO_SHRHLDR_EQY</stp>
        <stp>FQ4 2008</stp>
        <stp>FQ4 2008</stp>
        <stp>[FA1_j2ahgkxc.xlsx]Bal Sheet - Standardized!R51C42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1" s="3"/>
      </tp>
      <tp>
        <v>3.0710000000000002</v>
        <stp/>
        <stp>##V3_BDHV12</stp>
        <stp>AMZN US Equity</stp>
        <stp>OTHER_INS_RES_TO_SHRHLDR_EQY</stp>
        <stp>FQ4 2002</stp>
        <stp>FQ4 2002</stp>
        <stp>[FA1_j2ahgkxc.xlsx]Bal Sheet - Standardized!R51C18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1" s="3"/>
      </tp>
      <tp>
        <v>0</v>
        <stp/>
        <stp>##V3_BDHV12</stp>
        <stp>AMZN US Equity</stp>
        <stp>IS_TOT_CASH_COM_DVD</stp>
        <stp>FQ2 2005</stp>
        <stp>FQ2 2005</stp>
        <stp>[FA1_j2ahgkxc.xlsx]Income - Adjusted!R55C28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2"/>
      </tp>
      <tp>
        <v>351.774</v>
        <stp/>
        <stp>##V3_BDHV12</stp>
        <stp>AMZN US Equity</stp>
        <stp>EQY_SH_OUT</stp>
        <stp>FQ2 2000</stp>
        <stp>FQ2 2000</stp>
        <stp>[FA1_j2ahgkxc.xlsx]Stock Value!R13C8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3" s="6"/>
      </tp>
      <tp>
        <v>357.06299999999999</v>
        <stp/>
        <stp>##V3_BDHV12</stp>
        <stp>AMZN US Equity</stp>
        <stp>CF_FREE_CASH_FLOW</stp>
        <stp>FQ4 2002</stp>
        <stp>FQ4 2002</stp>
        <stp>[FA1_j2ahgkxc.xlsx]Cash Flow - Standardized!R49C18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9" s="4"/>
      </tp>
      <tp>
        <v>341.58600000000001</v>
        <stp/>
        <stp>##V3_BDHV12</stp>
        <stp>AMZN US Equity</stp>
        <stp>CF_FREE_CASH_FLOW</stp>
        <stp>FQ4 2001</stp>
        <stp>FQ4 2001</stp>
        <stp>[FA1_j2ahgkxc.xlsx]Cash Flow - Standardized!R49C14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9" s="4"/>
      </tp>
      <tp>
        <v>226.62799999999999</v>
        <stp/>
        <stp>##V3_BDHV12</stp>
        <stp>AMZN US Equity</stp>
        <stp>CF_FREE_CASH_FLOW</stp>
        <stp>FQ4 2000</stp>
        <stp>FQ4 2000</stp>
        <stp>[FA1_j2ahgkxc.xlsx]Cash Flow - Standardized!R49C10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9" s="4"/>
      </tp>
      <tp>
        <v>0</v>
        <stp/>
        <stp>##V3_BDHV12</stp>
        <stp>AMZN US Equity</stp>
        <stp>IS_TOT_CASH_COM_DVD</stp>
        <stp>FQ1 2007</stp>
        <stp>FQ1 2007</stp>
        <stp>[FA1_j2ahgkxc.xlsx]Income - Adjusted!R55C35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2"/>
      </tp>
      <tp>
        <v>0</v>
        <stp/>
        <stp>##V3_BDHV12</stp>
        <stp>AMZN US Equity</stp>
        <stp>IS_TOT_CASH_COM_DVD</stp>
        <stp>FQ4 2003</stp>
        <stp>FQ4 2003</stp>
        <stp>[FA1_j2ahgkxc.xlsx]Income - Adjusted!R55C22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2"/>
      </tp>
      <tp>
        <v>0</v>
        <stp/>
        <stp>##V3_BDHV12</stp>
        <stp>AMZN US Equity</stp>
        <stp>IS_TOT_CASH_COM_DVD</stp>
        <stp>FQ3 2004</stp>
        <stp>FQ3 2004</stp>
        <stp>[FA1_j2ahgkxc.xlsx]Income - Adjusted!R55C25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2"/>
      </tp>
      <tp>
        <v>0</v>
        <stp/>
        <stp>##V3_BDHV12</stp>
        <stp>AMZN US Equity</stp>
        <stp>IS_TOT_CASH_COM_DVD</stp>
        <stp>FQ4 2000</stp>
        <stp>FQ4 2000</stp>
        <stp>[FA1_j2ahgkxc.xlsx]Income - Adjusted!R55C10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2"/>
      </tp>
      <tp>
        <v>45.841000000000001</v>
        <stp/>
        <stp>##V3_BDHV12</stp>
        <stp>AMZN US Equity</stp>
        <stp>INC_DEC_IN_OT_OP_AST_LIAB_DETAIL</stp>
        <stp>FQ3 2003</stp>
        <stp>FQ3 2003</stp>
        <stp>[FA1_j2ahgkxc.xlsx]Cash Flow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4"/>
      </tp>
      <tp>
        <v>115.32899999999999</v>
        <stp/>
        <stp>##V3_BDHV12</stp>
        <stp>AMZN US Equity</stp>
        <stp>INC_DEC_IN_OT_OP_AST_LIAB_DETAIL</stp>
        <stp>FQ3 2004</stp>
        <stp>FQ3 2004</stp>
        <stp>[FA1_j2ahgkxc.xlsx]Cash Flow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4"/>
      </tp>
      <tp>
        <v>322</v>
        <stp/>
        <stp>##V3_BDHV12</stp>
        <stp>AMZN US Equity</stp>
        <stp>BS_NET_FIX_ASSET</stp>
        <stp>FQ3 2005</stp>
        <stp>FQ3 2005</stp>
        <stp>[FA1_j2ahgkxc.xlsx]Bal Sheet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3"/>
      </tp>
      <tp>
        <v>129</v>
        <stp/>
        <stp>##V3_BDHV12</stp>
        <stp>AMZN US Equity</stp>
        <stp>INC_DEC_IN_OT_OP_AST_LIAB_DETAIL</stp>
        <stp>FQ2 2007</stp>
        <stp>FQ2 2007</stp>
        <stp>[FA1_j2ahgkxc.xlsx]Cash Flow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4"/>
      </tp>
      <tp>
        <v>0</v>
        <stp/>
        <stp>##V3_BDHV12</stp>
        <stp>AMZN US Equity</stp>
        <stp>INC_DEC_IN_OT_OP_AST_LIAB_DETAIL</stp>
        <stp>FQ2 2006</stp>
        <stp>FQ2 2006</stp>
        <stp>[FA1_j2ahgkxc.xlsx]Cash Flow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4"/>
      </tp>
      <tp>
        <v>0</v>
        <stp/>
        <stp>##V3_BDHV12</stp>
        <stp>AMZN US Equity</stp>
        <stp>IS_TOT_CASH_PFD_DVD</stp>
        <stp>FQ2 2005</stp>
        <stp>FQ2 2005</stp>
        <stp>[FA1_j2ahgkxc.xlsx]Income - Adjusted!R27C28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2"/>
      </tp>
      <tp>
        <v>-248</v>
        <stp/>
        <stp>##V3_BDHV12</stp>
        <stp>AMZN US Equity</stp>
        <stp>CF_DECR_CAP_STOCK</stp>
        <stp>FQ1 2007</stp>
        <stp>FQ1 2007</stp>
        <stp>[FA1_j2ahgkxc.xlsx]Cash Flow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4"/>
      </tp>
      <tp>
        <v>0</v>
        <stp/>
        <stp>##V3_BDHV12</stp>
        <stp>AMZN US Equity</stp>
        <stp>IS_TOT_CASH_PFD_DVD</stp>
        <stp>FQ1 2007</stp>
        <stp>FQ1 2007</stp>
        <stp>[FA1_j2ahgkxc.xlsx]Income - Adjusted!R27C35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2"/>
      </tp>
      <tp>
        <v>0</v>
        <stp/>
        <stp>##V3_BDHV12</stp>
        <stp>AMZN US Equity</stp>
        <stp>IS_TOT_CASH_PFD_DVD</stp>
        <stp>FQ4 2003</stp>
        <stp>FQ4 2003</stp>
        <stp>[FA1_j2ahgkxc.xlsx]Income - Adjusted!R27C22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2"/>
      </tp>
      <tp>
        <v>0</v>
        <stp/>
        <stp>##V3_BDHV12</stp>
        <stp>AMZN US Equity</stp>
        <stp>IS_TOT_CASH_PFD_DVD</stp>
        <stp>FQ3 2004</stp>
        <stp>FQ3 2004</stp>
        <stp>[FA1_j2ahgkxc.xlsx]Income - Adjusted!R27C25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2"/>
      </tp>
      <tp>
        <v>0</v>
        <stp/>
        <stp>##V3_BDHV12</stp>
        <stp>AMZN US Equity</stp>
        <stp>CF_DECR_CAP_STOCK</stp>
        <stp>FQ3 2001</stp>
        <stp>FQ3 2001</stp>
        <stp>[FA1_j2ahgkxc.xlsx]Cash Flow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4"/>
      </tp>
      <tp>
        <v>0</v>
        <stp/>
        <stp>##V3_BDHV12</stp>
        <stp>AMZN US Equity</stp>
        <stp>IS_TOT_CASH_PFD_DVD</stp>
        <stp>FQ4 2000</stp>
        <stp>FQ4 2000</stp>
        <stp>[FA1_j2ahgkxc.xlsx]Income - Adjusted!R27C10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2"/>
      </tp>
      <tp>
        <v>405</v>
        <stp/>
        <stp>##V3_BDHV12</stp>
        <stp>AMZN US Equity</stp>
        <stp>BS_NET_FIX_ASSET</stp>
        <stp>FQ2 2006</stp>
        <stp>FQ2 2006</stp>
        <stp>[FA1_j2ahgkxc.xlsx]Bal Sheet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3"/>
      </tp>
      <tp>
        <v>0</v>
        <stp/>
        <stp>##V3_BDHV12</stp>
        <stp>AMZN US Equity</stp>
        <stp>CF_DECR_CAP_STOCK</stp>
        <stp>FQ1 2008</stp>
        <stp>FQ1 2008</stp>
        <stp>[FA1_j2ahgkxc.xlsx]Cash Flow - Standardized!R35C39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4"/>
      </tp>
      <tp>
        <v>221.459</v>
        <stp/>
        <stp>##V3_BDHV12</stp>
        <stp>AMZN US Equity</stp>
        <stp>BS_NET_FIX_ASSET</stp>
        <stp>FQ3 2003</stp>
        <stp>FQ3 2003</stp>
        <stp>[FA1_j2ahgkxc.xlsx]Bal Sheet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3"/>
      </tp>
      <tp>
        <v>0</v>
        <stp/>
        <stp>##V3_BDHV12</stp>
        <stp>AMZN US Equity</stp>
        <stp>IS_TOT_CASH_COM_DVD</stp>
        <stp>FQ2 1999</stp>
        <stp>FQ2 1999</stp>
        <stp>[FA1_j2ahgkxc.xlsx]Income - Adjusted!R55C5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2"/>
      </tp>
      <tp>
        <v>0</v>
        <stp/>
        <stp>##V3_BDHV12</stp>
        <stp>AMZN US Equity</stp>
        <stp>CF_DECR_CAP_STOCK</stp>
        <stp>FQ1 2006</stp>
        <stp>FQ1 2006</stp>
        <stp>[FA1_j2ahgkxc.xlsx]Cash Flow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4"/>
      </tp>
      <tp>
        <v>0</v>
        <stp/>
        <stp>##V3_BDHV12</stp>
        <stp>AMZN US Equity</stp>
        <stp>CF_DECR_CAP_STOCK</stp>
        <stp>FQ3 2002</stp>
        <stp>FQ3 2002</stp>
        <stp>[FA1_j2ahgkxc.xlsx]Cash Flow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4"/>
      </tp>
      <tp>
        <v>443</v>
        <stp/>
        <stp>##V3_BDHV12</stp>
        <stp>AMZN US Equity</stp>
        <stp>BS_NET_FIX_ASSET</stp>
        <stp>FQ2 2007</stp>
        <stp>FQ2 2007</stp>
        <stp>[FA1_j2ahgkxc.xlsx]Bal Sheet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3"/>
      </tp>
      <tp>
        <v>137</v>
        <stp/>
        <stp>##V3_BDHV12</stp>
        <stp>AMZN US Equity</stp>
        <stp>INC_DEC_IN_OT_OP_AST_LIAB_DETAIL</stp>
        <stp>FQ3 2005</stp>
        <stp>FQ3 2005</stp>
        <stp>[FA1_j2ahgkxc.xlsx]Cash Flow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4"/>
      </tp>
      <tp>
        <v>226.762</v>
        <stp/>
        <stp>##V3_BDHV12</stp>
        <stp>AMZN US Equity</stp>
        <stp>BS_NET_FIX_ASSET</stp>
        <stp>FQ3 2004</stp>
        <stp>FQ3 2004</stp>
        <stp>[FA1_j2ahgkxc.xlsx]Bal Sheet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3"/>
      </tp>
      <tp t="s">
        <v>—</v>
        <stp/>
        <stp>##V3_BDHV12</stp>
        <stp>AMZN US Equity</stp>
        <stp>BS_PURE_RETAINED_EARNINGS</stp>
        <stp>FQ4 1999</stp>
        <stp>FQ4 1999</stp>
        <stp>[FA1_j2ahgkxc.xlsx]Bal Sheet - Standardized!R50C7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0" s="3"/>
      </tp>
      <tp t="s">
        <v>—</v>
        <stp/>
        <stp>##V3_BDHV12</stp>
        <stp>AMZN US Equity</stp>
        <stp>IS_SG&amp;A_EXPENSE</stp>
        <stp>FQ3 2008</stp>
        <stp>FQ3 2008</stp>
        <stp>[FA1_j2ahgkxc.xlsx]Income - Adjusted!R10C41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0" s="2"/>
      </tp>
      <tp t="s">
        <v>—</v>
        <stp/>
        <stp>##V3_BDHV12</stp>
        <stp>AMZN US Equity</stp>
        <stp>BS_PURE_RETAINED_EARNINGS</stp>
        <stp>FQ1 1999</stp>
        <stp>FQ1 1999</stp>
        <stp>[FA1_j2ahgkxc.xlsx]Bal Sheet - Standardized!R50C4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0" s="3"/>
      </tp>
      <tp t="s">
        <v>—</v>
        <stp/>
        <stp>##V3_BDHV12</stp>
        <stp>AMZN US Equity</stp>
        <stp>BS_PURE_RETAINED_EARNINGS</stp>
        <stp>FQ3 1999</stp>
        <stp>FQ3 1999</stp>
        <stp>[FA1_j2ahgkxc.xlsx]Bal Sheet - Standardized!R50C6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0" s="3"/>
      </tp>
      <tp t="s">
        <v>—</v>
        <stp/>
        <stp>##V3_BDHV12</stp>
        <stp>AMZN US Equity</stp>
        <stp>BS_PURE_RETAINED_EARNINGS</stp>
        <stp>FQ4 1998</stp>
        <stp>FQ4 1998</stp>
        <stp>[FA1_j2ahgkxc.xlsx]Bal Sheet - Standardized!R50C3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0" s="3"/>
      </tp>
      <tp t="s">
        <v>—</v>
        <stp/>
        <stp>##V3_BDHV12</stp>
        <stp>AMZN US Equity</stp>
        <stp>BS_PURE_RETAINED_EARNINGS</stp>
        <stp>FQ2 1999</stp>
        <stp>FQ2 1999</stp>
        <stp>[FA1_j2ahgkxc.xlsx]Bal Sheet - Standardized!R50C5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0" s="3"/>
      </tp>
      <tp>
        <v>-46.427</v>
        <stp/>
        <stp>##V3_BDHV12</stp>
        <stp>AMZN US Equity</stp>
        <stp>EARN_FOR_COMMON</stp>
        <stp>FQ4 1998</stp>
        <stp>FQ4 1998</stp>
        <stp>[FA1_j2ahgkxc.xlsx]Income - Adjusted!R31C3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31" s="2"/>
      </tp>
      <tp>
        <v>-37.331000000000003</v>
        <stp/>
        <stp>##V3_BDHV12</stp>
        <stp>AMZN US Equity</stp>
        <stp>ACQUIS_FXD_&amp;_INTANG_DETAILED</stp>
        <stp>FQ4 2000</stp>
        <stp>FQ4 2000</stp>
        <stp>[FA1_j2ahgkxc.xlsx]Cash Flow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4"/>
      </tp>
      <tp t="s">
        <v>—</v>
        <stp/>
        <stp>##V3_BDHV12</stp>
        <stp>AMZN US Equity</stp>
        <stp>IS_NET_INTEREST_EXPENSE</stp>
        <stp>FQ2 2004</stp>
        <stp>FQ2 2004</stp>
        <stp>[FA1_j2ahgkxc.xlsx]Income - Adjusted!R13C24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 t="s">
        <v>—</v>
        <stp/>
        <stp>##V3_BDHV12</stp>
        <stp>AMZN US Equity</stp>
        <stp>IS_NET_INTEREST_EXPENSE</stp>
        <stp>FQ3 2007</stp>
        <stp>FQ3 2007</stp>
        <stp>[FA1_j2ahgkxc.xlsx]Income - Adjusted!R13C37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3" s="2"/>
      </tp>
      <tp t="s">
        <v>—</v>
        <stp/>
        <stp>##V3_BDHV12</stp>
        <stp>AMZN US Equity</stp>
        <stp>IS_NET_INTEREST_EXPENSE</stp>
        <stp>FQ1 2001</stp>
        <stp>FQ1 2001</stp>
        <stp>[FA1_j2ahgkxc.xlsx]Income - Adjusted!R13C11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 t="s">
        <v>—</v>
        <stp/>
        <stp>##V3_BDHV12</stp>
        <stp>AMZN US Equity</stp>
        <stp>IS_NET_INTEREST_EXPENSE</stp>
        <stp>FQ4 2000</stp>
        <stp>FQ4 2000</stp>
        <stp>[FA1_j2ahgkxc.xlsx]Income - Adjusted!R13C10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>
        <v>-7.5339999999999998</v>
        <stp/>
        <stp>##V3_BDHV12</stp>
        <stp>AMZN US Equity</stp>
        <stp>ACQUIS_FXD_&amp;_INTANG_DETAILED</stp>
        <stp>FQ4 2001</stp>
        <stp>FQ4 2001</stp>
        <stp>[FA1_j2ahgkxc.xlsx]Cash Flow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4"/>
      </tp>
      <tp>
        <v>-15.516</v>
        <stp/>
        <stp>##V3_BDHV12</stp>
        <stp>AMZN US Equity</stp>
        <stp>ACQUIS_FXD_&amp;_INTANG_DETAILED</stp>
        <stp>FQ4 2002</stp>
        <stp>FQ4 2002</stp>
        <stp>[FA1_j2ahgkxc.xlsx]Cash Flow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4"/>
      </tp>
      <tp>
        <v>0.31</v>
        <stp/>
        <stp>##V3_BDHV12</stp>
        <stp>AMZN US Equity</stp>
        <stp>IS_BASIC_EPS_CONT_OPS</stp>
        <stp>FQ4 2003</stp>
        <stp>FQ4 2003</stp>
        <stp>[FA1_j2ahgkxc.xlsx]Per Share!R16C22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6" s="5"/>
      </tp>
      <tp>
        <v>0.34</v>
        <stp/>
        <stp>##V3_BDHV12</stp>
        <stp>AMZN US Equity</stp>
        <stp>IS_BASIC_EPS_CONT_OPS</stp>
        <stp>FQ1 2008</stp>
        <stp>FQ1 2008</stp>
        <stp>[FA1_j2ahgkxc.xlsx]Per Share!R16C39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6" s="5"/>
      </tp>
      <tp>
        <v>0.18</v>
        <stp/>
        <stp>##V3_BDHV12</stp>
        <stp>AMZN US Equity</stp>
        <stp>IS_BASIC_EPS_CONT_OPS</stp>
        <stp>FQ3 2004</stp>
        <stp>FQ3 2004</stp>
        <stp>[FA1_j2ahgkxc.xlsx]Per Share!R16C25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6" s="5"/>
      </tp>
      <tp>
        <v>0.19</v>
        <stp/>
        <stp>##V3_BDHV12</stp>
        <stp>AMZN US Equity</stp>
        <stp>IS_BASIC_EPS_CONT_OPS</stp>
        <stp>FQ2 2007</stp>
        <stp>FQ2 2007</stp>
        <stp>[FA1_j2ahgkxc.xlsx]Per Share!R16C36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6" s="5"/>
      </tp>
      <tp>
        <v>353.95400000000001</v>
        <stp/>
        <stp>##V3_BDHV12</stp>
        <stp>AMZN US Equity</stp>
        <stp>IS_AVG_NUM_SH_FOR_EPS</stp>
        <stp>FQ3 2000</stp>
        <stp>FQ3 2000</stp>
        <stp>[FA1_j2ahgkxc.xlsx]Per Share!R8C9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5"/>
      </tp>
      <tp>
        <v>0</v>
        <stp/>
        <stp>##V3_BDHV12</stp>
        <stp>AMZN US Equity</stp>
        <stp>EQY_DPS</stp>
        <stp>FQ2 2008</stp>
        <stp>FQ2 2008</stp>
        <stp>[FA1_j2ahgkxc.xlsx]Per Share!R20C40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0" s="5"/>
      </tp>
      <tp>
        <v>104</v>
        <stp/>
        <stp>##V3_BDHV12</stp>
        <stp>AMZN US Equity</stp>
        <stp>EBITA</stp>
        <stp>FQ2 2005</stp>
        <stp>FQ2 2005</stp>
        <stp>[FA1_j2ahgkxc.xlsx]Income - Adjusted!R48C28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8" s="2"/>
      </tp>
      <tp>
        <v>27</v>
        <stp/>
        <stp>##V3_BDHV12</stp>
        <stp>AMZN US Equity</stp>
        <stp>OTHER_INS_RES_TO_SHRHLDR_EQY</stp>
        <stp>FQ2 2005</stp>
        <stp>FQ2 2005</stp>
        <stp>[FA1_j2ahgkxc.xlsx]Bal Sheet - Standardized!R51C28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1" s="3"/>
      </tp>
      <tp>
        <v>13</v>
        <stp/>
        <stp>##V3_BDHV12</stp>
        <stp>AMZN US Equity</stp>
        <stp>OTHER_INS_RES_TO_SHRHLDR_EQY</stp>
        <stp>FQ3 2005</stp>
        <stp>FQ3 2005</stp>
        <stp>[FA1_j2ahgkxc.xlsx]Bal Sheet - Standardized!R51C29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1" s="3"/>
      </tp>
      <tp>
        <v>336.30599999999998</v>
        <stp/>
        <stp>##V3_BDHV12</stp>
        <stp>AMZN US Equity</stp>
        <stp>EQY_SH_OUT</stp>
        <stp>FQ3 1999</stp>
        <stp>FQ3 1999</stp>
        <stp>[FA1_j2ahgkxc.xlsx]Stock Value!R13C5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3" s="6"/>
      </tp>
      <tp>
        <v>0</v>
        <stp/>
        <stp>##V3_BDHV12</stp>
        <stp>AMZN US Equity</stp>
        <stp>IS_TOT_CASH_COM_DVD</stp>
        <stp>FQ1 2002</stp>
        <stp>FQ1 2002</stp>
        <stp>[FA1_j2ahgkxc.xlsx]Income - Adjusted!R55C15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2"/>
      </tp>
      <tp>
        <v>-706</v>
        <stp/>
        <stp>##V3_BDHV12</stp>
        <stp>AMZN US Equity</stp>
        <stp>CF_FREE_CASH_FLOW</stp>
        <stp>FQ1 2008</stp>
        <stp>FQ1 2008</stp>
        <stp>[FA1_j2ahgkxc.xlsx]Cash Flow - Standardized!R49C39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9" s="4"/>
      </tp>
      <tp>
        <v>-77.328000000000003</v>
        <stp/>
        <stp>##V3_BDHV12</stp>
        <stp>AMZN US Equity</stp>
        <stp>CF_FREE_CASH_FLOW</stp>
        <stp>FQ3 2001</stp>
        <stp>FQ3 2001</stp>
        <stp>[FA1_j2ahgkxc.xlsx]Cash Flow - Standardized!R49C13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9" s="4"/>
      </tp>
      <tp>
        <v>0</v>
        <stp/>
        <stp>##V3_BDHV12</stp>
        <stp>AMZN US Equity</stp>
        <stp>IS_TOT_CASH_COM_DVD</stp>
        <stp>FQ4 2005</stp>
        <stp>FQ4 2005</stp>
        <stp>[FA1_j2ahgkxc.xlsx]Income - Adjusted!R55C30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2"/>
      </tp>
      <tp>
        <v>-313</v>
        <stp/>
        <stp>##V3_BDHV12</stp>
        <stp>AMZN US Equity</stp>
        <stp>CF_FREE_CASH_FLOW</stp>
        <stp>FQ1 2007</stp>
        <stp>FQ1 2007</stp>
        <stp>[FA1_j2ahgkxc.xlsx]Cash Flow - Standardized!R49C35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9" s="4"/>
      </tp>
      <tp>
        <v>0</v>
        <stp/>
        <stp>##V3_BDHV12</stp>
        <stp>AMZN US Equity</stp>
        <stp>IS_TOT_CASH_COM_DVD</stp>
        <stp>FQ2 2001</stp>
        <stp>FQ2 2001</stp>
        <stp>[FA1_j2ahgkxc.xlsx]Income - Adjusted!R55C12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2"/>
      </tp>
      <tp>
        <v>0</v>
        <stp/>
        <stp>##V3_BDHV12</stp>
        <stp>AMZN US Equity</stp>
        <stp>IS_TOT_CASH_COM_DVD</stp>
        <stp>FQ4 2004</stp>
        <stp>FQ4 2004</stp>
        <stp>[FA1_j2ahgkxc.xlsx]Income - Adjusted!R55C26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2"/>
      </tp>
      <tp>
        <v>0</v>
        <stp/>
        <stp>##V3_BDHV12</stp>
        <stp>AMZN US Equity</stp>
        <stp>IS_TOT_CASH_COM_DVD</stp>
        <stp>FQ3 2003</stp>
        <stp>FQ3 2003</stp>
        <stp>[FA1_j2ahgkxc.xlsx]Income - Adjusted!R55C21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2"/>
      </tp>
      <tp>
        <v>-349</v>
        <stp/>
        <stp>##V3_BDHV12</stp>
        <stp>AMZN US Equity</stp>
        <stp>CF_FREE_CASH_FLOW</stp>
        <stp>FQ1 2006</stp>
        <stp>FQ1 2006</stp>
        <stp>[FA1_j2ahgkxc.xlsx]Cash Flow - Standardized!R49C31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9" s="4"/>
      </tp>
      <tp>
        <v>26.754999999999999</v>
        <stp/>
        <stp>##V3_BDHV12</stp>
        <stp>AMZN US Equity</stp>
        <stp>CF_FREE_CASH_FLOW</stp>
        <stp>FQ3 2002</stp>
        <stp>FQ3 2002</stp>
        <stp>[FA1_j2ahgkxc.xlsx]Cash Flow - Standardized!R49C17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9" s="4"/>
      </tp>
      <tp>
        <v>337.69600000000003</v>
        <stp/>
        <stp>##V3_BDHV12</stp>
        <stp>AMZN US Equity</stp>
        <stp>INC_DEC_IN_OT_OP_AST_LIAB_DETAIL</stp>
        <stp>FQ4 2003</stp>
        <stp>FQ4 2003</stp>
        <stp>[FA1_j2ahgkxc.xlsx]Cash Flow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4"/>
      </tp>
      <tp>
        <v>0</v>
        <stp/>
        <stp>##V3_BDHV12</stp>
        <stp>AMZN US Equity</stp>
        <stp>CF_DECR_CAP_STOCK</stp>
        <stp>FQ4 2002</stp>
        <stp>FQ4 2002</stp>
        <stp>[FA1_j2ahgkxc.xlsx]Cash Flow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4"/>
      </tp>
      <tp>
        <v>491.916</v>
        <stp/>
        <stp>##V3_BDHV12</stp>
        <stp>AMZN US Equity</stp>
        <stp>INC_DEC_IN_OT_OP_AST_LIAB_DETAIL</stp>
        <stp>FQ4 2004</stp>
        <stp>FQ4 2004</stp>
        <stp>[FA1_j2ahgkxc.xlsx]Cash Flow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4"/>
      </tp>
      <tp>
        <v>651</v>
        <stp/>
        <stp>##V3_BDHV12</stp>
        <stp>AMZN US Equity</stp>
        <stp>BS_NET_FIX_ASSET</stp>
        <stp>FQ2 2008</stp>
        <stp>FQ2 2008</stp>
        <stp>[FA1_j2ahgkxc.xlsx]Bal Sheet - Standardized!R19C40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9" s="3"/>
      </tp>
      <tp>
        <v>0</v>
        <stp/>
        <stp>##V3_BDHV12</stp>
        <stp>AMZN US Equity</stp>
        <stp>IS_TOT_CASH_PFD_DVD</stp>
        <stp>FQ2 2001</stp>
        <stp>FQ2 2001</stp>
        <stp>[FA1_j2ahgkxc.xlsx]Income - Adjusted!R27C12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2"/>
      </tp>
      <tp>
        <v>224.285</v>
        <stp/>
        <stp>##V3_BDHV12</stp>
        <stp>AMZN US Equity</stp>
        <stp>BS_NET_FIX_ASSET</stp>
        <stp>FQ4 2003</stp>
        <stp>FQ4 2003</stp>
        <stp>[FA1_j2ahgkxc.xlsx]Bal Sheet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3"/>
      </tp>
      <tp>
        <v>0</v>
        <stp/>
        <stp>##V3_BDHV12</stp>
        <stp>AMZN US Equity</stp>
        <stp>IS_TOT_CASH_PFD_DVD</stp>
        <stp>FQ4 2004</stp>
        <stp>FQ4 2004</stp>
        <stp>[FA1_j2ahgkxc.xlsx]Income - Adjusted!R27C26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2"/>
      </tp>
      <tp>
        <v>0</v>
        <stp/>
        <stp>##V3_BDHV12</stp>
        <stp>AMZN US Equity</stp>
        <stp>IS_TOT_CASH_PFD_DVD</stp>
        <stp>FQ3 2003</stp>
        <stp>FQ3 2003</stp>
        <stp>[FA1_j2ahgkxc.xlsx]Income - Adjusted!R27C21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2"/>
      </tp>
      <tp>
        <v>195</v>
        <stp/>
        <stp>##V3_BDHV12</stp>
        <stp>AMZN US Equity</stp>
        <stp>INC_DEC_IN_OT_OP_AST_LIAB_DETAIL</stp>
        <stp>FQ2 2008</stp>
        <stp>FQ2 2008</stp>
        <stp>[FA1_j2ahgkxc.xlsx]Cash Flow - Standardized!R17C40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4"/>
      </tp>
      <tp>
        <v>0</v>
        <stp/>
        <stp>##V3_BDHV12</stp>
        <stp>AMZN US Equity</stp>
        <stp>CF_DECR_CAP_STOCK</stp>
        <stp>FQ4 2001</stp>
        <stp>FQ4 2001</stp>
        <stp>[FA1_j2ahgkxc.xlsx]Cash Flow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4"/>
      </tp>
      <tp>
        <v>246.15600000000001</v>
        <stp/>
        <stp>##V3_BDHV12</stp>
        <stp>AMZN US Equity</stp>
        <stp>BS_NET_FIX_ASSET</stp>
        <stp>FQ4 2004</stp>
        <stp>FQ4 2004</stp>
        <stp>[FA1_j2ahgkxc.xlsx]Bal Sheet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3"/>
      </tp>
      <tp>
        <v>0</v>
        <stp/>
        <stp>##V3_BDHV12</stp>
        <stp>AMZN US Equity</stp>
        <stp>IS_TOT_CASH_PFD_DVD</stp>
        <stp>FQ1 2002</stp>
        <stp>FQ1 2002</stp>
        <stp>[FA1_j2ahgkxc.xlsx]Income - Adjusted!R27C15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2"/>
      </tp>
      <tp>
        <v>0</v>
        <stp/>
        <stp>##V3_BDHV12</stp>
        <stp>AMZN US Equity</stp>
        <stp>IS_TOT_CASH_PFD_DVD</stp>
        <stp>FQ4 2005</stp>
        <stp>FQ4 2005</stp>
        <stp>[FA1_j2ahgkxc.xlsx]Income - Adjusted!R27C30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2"/>
      </tp>
      <tp>
        <v>0</v>
        <stp/>
        <stp>##V3_BDHV12</stp>
        <stp>AMZN US Equity</stp>
        <stp>CF_DECR_CAP_STOCK</stp>
        <stp>FQ4 2000</stp>
        <stp>FQ4 2000</stp>
        <stp>[FA1_j2ahgkxc.xlsx]Cash Flow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4"/>
      </tp>
      <tp>
        <v>401.42200000000003</v>
        <stp/>
        <stp>##V3_BDHV12</stp>
        <stp>AMZN US Equity</stp>
        <stp>IS_AVG_NUM_SH_FOR_EPS</stp>
        <stp>FQ4 2003</stp>
        <stp>FQ4 2003</stp>
        <stp>[FA1_j2ahgkxc.xlsx]Income - Adjusted!R34C22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4" s="2"/>
      </tp>
      <tp>
        <v>417</v>
        <stp/>
        <stp>##V3_BDHV12</stp>
        <stp>AMZN US Equity</stp>
        <stp>IS_AVG_NUM_SH_FOR_EPS</stp>
        <stp>FQ1 2008</stp>
        <stp>FQ1 2008</stp>
        <stp>[FA1_j2ahgkxc.xlsx]Income - Adjusted!R34C39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4" s="2"/>
      </tp>
      <tp>
        <v>406.64699999999999</v>
        <stp/>
        <stp>##V3_BDHV12</stp>
        <stp>AMZN US Equity</stp>
        <stp>IS_AVG_NUM_SH_FOR_EPS</stp>
        <stp>FQ3 2004</stp>
        <stp>FQ3 2004</stp>
        <stp>[FA1_j2ahgkxc.xlsx]Income - Adjusted!R34C25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4" s="2"/>
      </tp>
      <tp>
        <v>412</v>
        <stp/>
        <stp>##V3_BDHV12</stp>
        <stp>AMZN US Equity</stp>
        <stp>IS_AVG_NUM_SH_FOR_EPS</stp>
        <stp>FQ2 2007</stp>
        <stp>FQ2 2007</stp>
        <stp>[FA1_j2ahgkxc.xlsx]Income - Adjusted!R34C36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4" s="2"/>
      </tp>
      <tp t="s">
        <v>—</v>
        <stp/>
        <stp>##V3_BDHV12</stp>
        <stp>AMZN US Equity</stp>
        <stp>IS_NET_INTEREST_EXPENSE</stp>
        <stp>FQ2 1999</stp>
        <stp>FQ2 1999</stp>
        <stp>[FA1_j2ahgkxc.xlsx]Income - Adjusted!R13C5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67.531000000000006</v>
        <stp/>
        <stp>##V3_BDHV12</stp>
        <stp>AMZN US Equity</stp>
        <stp>GROSS_PROFIT</stp>
        <stp>FQ2 1999</stp>
        <stp>FQ2 1999</stp>
        <stp>[FA1_j2ahgkxc.xlsx]Income - Adjusted!R8C5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>
        <v>53.302999999999997</v>
        <stp/>
        <stp>##V3_BDHV12</stp>
        <stp>AMZN US Equity</stp>
        <stp>GROSS_PROFIT</stp>
        <stp>FQ4 1998</stp>
        <stp>FQ4 1998</stp>
        <stp>[FA1_j2ahgkxc.xlsx]Income - Adjusted!R8C3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-1.6930000000000001</v>
        <stp/>
        <stp>##V3_BDHV12</stp>
        <stp>AMZN US Equity</stp>
        <stp>FREE_CASH_FLOW_PER_SH</stp>
        <stp>FQ1 2008</stp>
        <stp>FQ1 2008</stp>
        <stp>[FA1_j2ahgkxc.xlsx]Per Share!R23C39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3" s="5"/>
      </tp>
      <tp>
        <v>0.2162</v>
        <stp/>
        <stp>##V3_BDHV12</stp>
        <stp>AMZN US Equity</stp>
        <stp>FREE_CASH_FLOW_PER_SH</stp>
        <stp>FQ3 2004</stp>
        <stp>FQ3 2004</stp>
        <stp>[FA1_j2ahgkxc.xlsx]Per Share!R23C25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3" s="5"/>
      </tp>
      <tp>
        <v>0.61170000000000002</v>
        <stp/>
        <stp>##V3_BDHV12</stp>
        <stp>AMZN US Equity</stp>
        <stp>FREE_CASH_FLOW_PER_SH</stp>
        <stp>FQ2 2007</stp>
        <stp>FQ2 2007</stp>
        <stp>[FA1_j2ahgkxc.xlsx]Per Share!R23C36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3" s="5"/>
      </tp>
      <tp>
        <v>1.1552</v>
        <stp/>
        <stp>##V3_BDHV12</stp>
        <stp>AMZN US Equity</stp>
        <stp>FREE_CASH_FLOW_PER_SH</stp>
        <stp>FQ4 2003</stp>
        <stp>FQ4 2003</stp>
        <stp>[FA1_j2ahgkxc.xlsx]Per Share!R23C22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3" s="5"/>
      </tp>
      <tp>
        <v>-11.353</v>
        <stp/>
        <stp>##V3_BDHV12</stp>
        <stp>AMZN US Equity</stp>
        <stp>ACQUIS_FXD_&amp;_INTANG_DETAILED</stp>
        <stp>FQ3 2002</stp>
        <stp>FQ3 2002</stp>
        <stp>[FA1_j2ahgkxc.xlsx]Cash Flow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4"/>
      </tp>
      <tp>
        <v>-46</v>
        <stp/>
        <stp>##V3_BDHV12</stp>
        <stp>AMZN US Equity</stp>
        <stp>ACQUIS_FXD_&amp;_INTANG_DETAILED</stp>
        <stp>FQ1 2006</stp>
        <stp>FQ1 2006</stp>
        <stp>[FA1_j2ahgkxc.xlsx]Cash Flow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4"/>
      </tp>
      <tp>
        <v>-34</v>
        <stp/>
        <stp>##V3_BDHV12</stp>
        <stp>AMZN US Equity</stp>
        <stp>ACQUIS_FXD_&amp;_INTANG_DETAILED</stp>
        <stp>FQ1 2007</stp>
        <stp>FQ1 2007</stp>
        <stp>[FA1_j2ahgkxc.xlsx]Cash Flow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4"/>
      </tp>
      <tp t="s">
        <v>—</v>
        <stp/>
        <stp>##V3_BDHV12</stp>
        <stp>AMZN US Equity</stp>
        <stp>IS_NET_INTEREST_EXPENSE</stp>
        <stp>FQ1 2006</stp>
        <stp>FQ1 2006</stp>
        <stp>[FA1_j2ahgkxc.xlsx]Income - Adjusted!R13C31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 t="s">
        <v>—</v>
        <stp/>
        <stp>##V3_BDHV12</stp>
        <stp>AMZN US Equity</stp>
        <stp>IS_NET_INTEREST_EXPENSE</stp>
        <stp>FQ1 2004</stp>
        <stp>FQ1 2004</stp>
        <stp>[FA1_j2ahgkxc.xlsx]Income - Adjusted!R13C23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 t="s">
        <v>—</v>
        <stp/>
        <stp>##V3_BDHV12</stp>
        <stp>AMZN US Equity</stp>
        <stp>IS_NET_INTEREST_EXPENSE</stp>
        <stp>FQ1 2002</stp>
        <stp>FQ1 2002</stp>
        <stp>[FA1_j2ahgkxc.xlsx]Income - Adjusted!R13C15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  <tp>
        <v>-61</v>
        <stp/>
        <stp>##V3_BDHV12</stp>
        <stp>AMZN US Equity</stp>
        <stp>ACQUIS_FXD_&amp;_INTANG_DETAILED</stp>
        <stp>FQ1 2008</stp>
        <stp>FQ1 2008</stp>
        <stp>[FA1_j2ahgkxc.xlsx]Cash Flow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4"/>
      </tp>
      <tp>
        <v>-12.925000000000001</v>
        <stp/>
        <stp>##V3_BDHV12</stp>
        <stp>AMZN US Equity</stp>
        <stp>ACQUIS_FXD_&amp;_INTANG_DETAILED</stp>
        <stp>FQ3 2001</stp>
        <stp>FQ3 2001</stp>
        <stp>[FA1_j2ahgkxc.xlsx]Cash Flow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4"/>
      </tp>
      <tp>
        <v>78</v>
        <stp/>
        <stp>##V3_BDHV12</stp>
        <stp>AMZN US Equity</stp>
        <stp>EARN_FOR_COMMON</stp>
        <stp>FQ2 2007</stp>
        <stp>FQ2 2007</stp>
        <stp>[FA1_j2ahgkxc.xlsx]Income - Adjusted!R31C36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31" s="2"/>
      </tp>
      <tp>
        <v>54.146999999999998</v>
        <stp/>
        <stp>##V3_BDHV12</stp>
        <stp>AMZN US Equity</stp>
        <stp>EARN_FOR_COMMON</stp>
        <stp>FQ3 2004</stp>
        <stp>FQ3 2004</stp>
        <stp>[FA1_j2ahgkxc.xlsx]Income - Adjusted!R31C25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31" s="2"/>
      </tp>
      <tp>
        <v>143</v>
        <stp/>
        <stp>##V3_BDHV12</stp>
        <stp>AMZN US Equity</stp>
        <stp>EARN_FOR_COMMON</stp>
        <stp>FQ1 2008</stp>
        <stp>FQ1 2008</stp>
        <stp>[FA1_j2ahgkxc.xlsx]Income - Adjusted!R31C39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31" s="2"/>
      </tp>
      <tp>
        <v>73.153999999999996</v>
        <stp/>
        <stp>##V3_BDHV12</stp>
        <stp>AMZN US Equity</stp>
        <stp>EARN_FOR_COMMON</stp>
        <stp>FQ4 2003</stp>
        <stp>FQ4 2003</stp>
        <stp>[FA1_j2ahgkxc.xlsx]Income - Adjusted!R31C22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31" s="2"/>
      </tp>
      <tp>
        <v>0</v>
        <stp/>
        <stp>##V3_BDHV12</stp>
        <stp>AMZN US Equity</stp>
        <stp>EQY_DPS</stp>
        <stp>FQ4 2007</stp>
        <stp>FQ4 2007</stp>
        <stp>[FA1_j2ahgkxc.xlsx]Per Share!R20C38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0" s="5"/>
      </tp>
      <tp>
        <v>71.552000000000007</v>
        <stp/>
        <stp>##V3_BDHV12</stp>
        <stp>AMZN US Equity</stp>
        <stp>EBITA</stp>
        <stp>FQ4 2002</stp>
        <stp>FQ4 2002</stp>
        <stp>[FA1_j2ahgkxc.xlsx]Income - Adjusted!R48C18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8" s="2"/>
      </tp>
      <tp>
        <v>263</v>
        <stp/>
        <stp>##V3_BDHV12</stp>
        <stp>AMZN US Equity</stp>
        <stp>EBITA</stp>
        <stp>FQ4 2008</stp>
        <stp>FQ4 2008</stp>
        <stp>[FA1_j2ahgkxc.xlsx]Income - Adjusted!R48C42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8" s="2"/>
      </tp>
      <tp>
        <v>39.225000000000001</v>
        <stp/>
        <stp>##V3_BDHV12</stp>
        <stp>AMZN US Equity</stp>
        <stp>EBITA</stp>
        <stp>FQ1 2003</stp>
        <stp>FQ1 2003</stp>
        <stp>[FA1_j2ahgkxc.xlsx]Income - Adjusted!R48C19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8" s="2"/>
      </tp>
      <tp>
        <v>322.74200000000002</v>
        <stp/>
        <stp>##V3_BDHV12</stp>
        <stp>AMZN US Equity</stp>
        <stp>EQY_SH_OUT</stp>
        <stp>FQ2 1999</stp>
        <stp>FQ2 1999</stp>
        <stp>[FA1_j2ahgkxc.xlsx]Stock Value!R13C4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3" s="6"/>
      </tp>
      <tp>
        <v>0</v>
        <stp/>
        <stp>##V3_BDHV12</stp>
        <stp>AMZN US Equity</stp>
        <stp>IS_TOT_CASH_COM_DVD</stp>
        <stp>FQ1 2003</stp>
        <stp>FQ1 2003</stp>
        <stp>[FA1_j2ahgkxc.xlsx]Income - Adjusted!R55C19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2"/>
      </tp>
      <tp>
        <v>-7.9399999999999995</v>
        <stp/>
        <stp>##V3_BDHV12</stp>
        <stp>AMZN US Equity</stp>
        <stp>CF_FREE_CASH_FLOW</stp>
        <stp>FQ2 2001</stp>
        <stp>FQ2 2001</stp>
        <stp>[FA1_j2ahgkxc.xlsx]Cash Flow - Standardized!R49C12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9" s="4"/>
      </tp>
      <tp>
        <v>-320</v>
        <stp/>
        <stp>##V3_BDHV12</stp>
        <stp>AMZN US Equity</stp>
        <stp>CF_FREE_CASH_FLOW</stp>
        <stp>FQ1 2005</stp>
        <stp>FQ1 2005</stp>
        <stp>[FA1_j2ahgkxc.xlsx]Cash Flow - Standardized!R49C27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9" s="4"/>
      </tp>
      <tp>
        <v>0</v>
        <stp/>
        <stp>##V3_BDHV12</stp>
        <stp>AMZN US Equity</stp>
        <stp>IS_TOT_CASH_COM_DVD</stp>
        <stp>FQ2 2003</stp>
        <stp>FQ2 2003</stp>
        <stp>[FA1_j2ahgkxc.xlsx]Income - Adjusted!R55C20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2"/>
      </tp>
      <tp>
        <v>0</v>
        <stp/>
        <stp>##V3_BDHV12</stp>
        <stp>AMZN US Equity</stp>
        <stp>IS_TOT_CASH_COM_DVD</stp>
        <stp>FQ3 2001</stp>
        <stp>FQ3 2001</stp>
        <stp>[FA1_j2ahgkxc.xlsx]Income - Adjusted!R55C13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2"/>
      </tp>
      <tp>
        <v>-260.20100000000002</v>
        <stp/>
        <stp>##V3_BDHV12</stp>
        <stp>AMZN US Equity</stp>
        <stp>CF_FREE_CASH_FLOW</stp>
        <stp>FQ1 2004</stp>
        <stp>FQ1 2004</stp>
        <stp>[FA1_j2ahgkxc.xlsx]Cash Flow - Standardized!R49C23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9" s="4"/>
      </tp>
      <tp>
        <v>-2.8029999999999999</v>
        <stp/>
        <stp>##V3_BDHV12</stp>
        <stp>AMZN US Equity</stp>
        <stp>CF_FREE_CASH_FLOW</stp>
        <stp>FQ2 2002</stp>
        <stp>FQ2 2002</stp>
        <stp>[FA1_j2ahgkxc.xlsx]Cash Flow - Standardized!R49C16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9" s="4"/>
      </tp>
      <tp>
        <v>539</v>
        <stp/>
        <stp>##V3_BDHV12</stp>
        <stp>AMZN US Equity</stp>
        <stp>INC_DEC_IN_OT_OP_AST_LIAB_DETAIL</stp>
        <stp>FQ4 2005</stp>
        <stp>FQ4 2005</stp>
        <stp>[FA1_j2ahgkxc.xlsx]Cash Flow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4"/>
      </tp>
      <tp>
        <v>0</v>
        <stp/>
        <stp>##V3_BDHV12</stp>
        <stp>AMZN US Equity</stp>
        <stp>IS_TOT_CASH_PFD_DVD</stp>
        <stp>FQ1 2003</stp>
        <stp>FQ1 2003</stp>
        <stp>[FA1_j2ahgkxc.xlsx]Income - Adjusted!R27C19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2"/>
      </tp>
      <tp>
        <v>893</v>
        <stp/>
        <stp>##V3_BDHV12</stp>
        <stp>AMZN US Equity</stp>
        <stp>INC_DEC_IN_OT_OP_AST_LIAB_DETAIL</stp>
        <stp>FQ4 2006</stp>
        <stp>FQ4 2006</stp>
        <stp>[FA1_j2ahgkxc.xlsx]Cash Flow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4"/>
      </tp>
      <tp>
        <v>543</v>
        <stp/>
        <stp>##V3_BDHV12</stp>
        <stp>AMZN US Equity</stp>
        <stp>BS_NET_FIX_ASSET</stp>
        <stp>FQ4 2007</stp>
        <stp>FQ4 2007</stp>
        <stp>[FA1_j2ahgkxc.xlsx]Bal Sheet - Standardized!R19C38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9" s="3"/>
      </tp>
      <tp>
        <v>731</v>
        <stp/>
        <stp>##V3_BDHV12</stp>
        <stp>AMZN US Equity</stp>
        <stp>BS_NET_FIX_ASSET</stp>
        <stp>FQ3 2008</stp>
        <stp>FQ3 2008</stp>
        <stp>[FA1_j2ahgkxc.xlsx]Bal Sheet - Standardized!R19C41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9" s="3"/>
      </tp>
      <tp>
        <v>0</v>
        <stp/>
        <stp>##V3_BDHV12</stp>
        <stp>AMZN US Equity</stp>
        <stp>IS_TOT_CASH_PFD_DVD</stp>
        <stp>FQ2 2003</stp>
        <stp>FQ2 2003</stp>
        <stp>[FA1_j2ahgkxc.xlsx]Income - Adjusted!R27C20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2"/>
      </tp>
      <tp>
        <v>0</v>
        <stp/>
        <stp>##V3_BDHV12</stp>
        <stp>AMZN US Equity</stp>
        <stp>IS_TOT_CASH_COM_DVD</stp>
        <stp>FQ4 1999</stp>
        <stp>FQ4 1999</stp>
        <stp>[FA1_j2ahgkxc.xlsx]Income - Adjusted!R55C7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2"/>
      </tp>
      <tp>
        <v>0</v>
        <stp/>
        <stp>##V3_BDHV12</stp>
        <stp>AMZN US Equity</stp>
        <stp>IS_TOT_CASH_PFD_DVD</stp>
        <stp>FQ3 2001</stp>
        <stp>FQ3 2001</stp>
        <stp>[FA1_j2ahgkxc.xlsx]Income - Adjusted!R27C13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2"/>
      </tp>
      <tp>
        <v>498</v>
        <stp/>
        <stp>##V3_BDHV12</stp>
        <stp>AMZN US Equity</stp>
        <stp>INC_DEC_IN_OT_OP_AST_LIAB_DETAIL</stp>
        <stp>FQ3 2008</stp>
        <stp>FQ3 2008</stp>
        <stp>[FA1_j2ahgkxc.xlsx]Cash Flow - Standardized!R17C41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4"/>
      </tp>
      <tp>
        <v>407</v>
        <stp/>
        <stp>##V3_BDHV12</stp>
        <stp>AMZN US Equity</stp>
        <stp>INC_DEC_IN_OT_OP_AST_LIAB_DETAIL</stp>
        <stp>FQ4 2007</stp>
        <stp>FQ4 2007</stp>
        <stp>[FA1_j2ahgkxc.xlsx]Cash Flow - Standardized!R17C38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4"/>
      </tp>
      <tp>
        <v>457</v>
        <stp/>
        <stp>##V3_BDHV12</stp>
        <stp>AMZN US Equity</stp>
        <stp>BS_NET_FIX_ASSET</stp>
        <stp>FQ4 2006</stp>
        <stp>FQ4 2006</stp>
        <stp>[FA1_j2ahgkxc.xlsx]Bal Sheet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3"/>
      </tp>
      <tp>
        <v>348</v>
        <stp/>
        <stp>##V3_BDHV12</stp>
        <stp>AMZN US Equity</stp>
        <stp>BS_NET_FIX_ASSET</stp>
        <stp>FQ4 2005</stp>
        <stp>FQ4 2005</stp>
        <stp>[FA1_j2ahgkxc.xlsx]Bal Sheet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3"/>
      </tp>
      <tp>
        <v>0</v>
        <stp/>
        <stp>##V3_BDHV12</stp>
        <stp>AMZN US Equity</stp>
        <stp>IS_TOT_CASH_COM_DVD</stp>
        <stp>FQ4 1998</stp>
        <stp>FQ4 1998</stp>
        <stp>[FA1_j2ahgkxc.xlsx]Income - Adjusted!R55C3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2"/>
      </tp>
      <tp>
        <v>197</v>
        <stp/>
        <stp>##V3_BDHV12</stp>
        <stp>AMZN US Equity</stp>
        <stp>IS_SG&amp;A_EXPENSE</stp>
        <stp>FQ4 2007</stp>
        <stp>FQ4 2007</stp>
        <stp>[FA1_j2ahgkxc.xlsx]Income - Adjusted!R10C38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0" s="2"/>
      </tp>
      <tp>
        <v>355.68099999999998</v>
        <stp/>
        <stp>##V3_BDHV12</stp>
        <stp>AMZN US Equity</stp>
        <stp>IS_AVG_NUM_SH_FOR_EPS</stp>
        <stp>FQ4 2000</stp>
        <stp>FQ4 2000</stp>
        <stp>[FA1_j2ahgkxc.xlsx]Income - Adjusted!R34C10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4" s="2"/>
      </tp>
      <tp>
        <v>357.42399999999998</v>
        <stp/>
        <stp>##V3_BDHV12</stp>
        <stp>AMZN US Equity</stp>
        <stp>IS_AVG_NUM_SH_FOR_EPS</stp>
        <stp>FQ1 2001</stp>
        <stp>FQ1 2001</stp>
        <stp>[FA1_j2ahgkxc.xlsx]Income - Adjusted!R34C11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4" s="2"/>
      </tp>
      <tp>
        <v>414</v>
        <stp/>
        <stp>##V3_BDHV12</stp>
        <stp>AMZN US Equity</stp>
        <stp>IS_AVG_NUM_SH_FOR_EPS</stp>
        <stp>FQ3 2007</stp>
        <stp>FQ3 2007</stp>
        <stp>[FA1_j2ahgkxc.xlsx]Income - Adjusted!R34C37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4" s="2"/>
      </tp>
      <tp>
        <v>405.26799999999997</v>
        <stp/>
        <stp>##V3_BDHV12</stp>
        <stp>AMZN US Equity</stp>
        <stp>IS_AVG_NUM_SH_FOR_EPS</stp>
        <stp>FQ2 2004</stp>
        <stp>FQ2 2004</stp>
        <stp>[FA1_j2ahgkxc.xlsx]Income - Adjusted!R34C24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4" s="2"/>
      </tp>
      <tp t="s">
        <v>—</v>
        <stp/>
        <stp>##V3_BDHV12</stp>
        <stp>AMZN US Equity</stp>
        <stp>IS_NET_INTEREST_EXPENSE</stp>
        <stp>FQ4 1998</stp>
        <stp>FQ4 1998</stp>
        <stp>[FA1_j2ahgkxc.xlsx]Income - Adjusted!R13C3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>
        <v>-0.35</v>
        <stp/>
        <stp>##V3_BDHV12</stp>
        <stp>AMZN US Equity</stp>
        <stp>IS_DIL_EPS_CONT_OPS</stp>
        <stp>FQ1 2000</stp>
        <stp>FQ1 2000</stp>
        <stp>[FA1_j2ahgkxc.xlsx]Per Share!R19C8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9" s="5"/>
      </tp>
      <tp>
        <v>-1.1930000000000001</v>
        <stp/>
        <stp>##V3_BDHV12</stp>
        <stp>AMZN US Equity</stp>
        <stp>FREE_CASH_FLOW_PER_SH</stp>
        <stp>FQ1 2001</stp>
        <stp>FQ1 2001</stp>
        <stp>[FA1_j2ahgkxc.xlsx]Per Share!R23C11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3" s="5"/>
      </tp>
      <tp>
        <v>0.40579999999999999</v>
        <stp/>
        <stp>##V3_BDHV12</stp>
        <stp>AMZN US Equity</stp>
        <stp>FREE_CASH_FLOW_PER_SH</stp>
        <stp>FQ3 2007</stp>
        <stp>FQ3 2007</stp>
        <stp>[FA1_j2ahgkxc.xlsx]Per Share!R23C37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3" s="5"/>
      </tp>
      <tp>
        <v>0.318</v>
        <stp/>
        <stp>##V3_BDHV12</stp>
        <stp>AMZN US Equity</stp>
        <stp>FREE_CASH_FLOW_PER_SH</stp>
        <stp>FQ2 2004</stp>
        <stp>FQ2 2004</stp>
        <stp>[FA1_j2ahgkxc.xlsx]Per Share!R23C24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3" s="5"/>
      </tp>
      <tp>
        <v>0.63719999999999999</v>
        <stp/>
        <stp>##V3_BDHV12</stp>
        <stp>AMZN US Equity</stp>
        <stp>FREE_CASH_FLOW_PER_SH</stp>
        <stp>FQ4 2000</stp>
        <stp>FQ4 2000</stp>
        <stp>[FA1_j2ahgkxc.xlsx]Per Share!R23C10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3" s="5"/>
      </tp>
      <tp>
        <v>-7.44</v>
        <stp/>
        <stp>##V3_BDHV12</stp>
        <stp>AMZN US Equity</stp>
        <stp>ACQUIS_FXD_&amp;_INTANG_DETAILED</stp>
        <stp>FQ2 2002</stp>
        <stp>FQ2 2002</stp>
        <stp>[FA1_j2ahgkxc.xlsx]Cash Flow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4"/>
      </tp>
      <tp>
        <v>-9.5129999999999999</v>
        <stp/>
        <stp>##V3_BDHV12</stp>
        <stp>AMZN US Equity</stp>
        <stp>ACQUIS_FXD_&amp;_INTANG_DETAILED</stp>
        <stp>FQ1 2004</stp>
        <stp>FQ1 2004</stp>
        <stp>[FA1_j2ahgkxc.xlsx]Cash Flow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4"/>
      </tp>
      <tp>
        <v>-26</v>
        <stp/>
        <stp>##V3_BDHV12</stp>
        <stp>AMZN US Equity</stp>
        <stp>ACQUIS_FXD_&amp;_INTANG_DETAILED</stp>
        <stp>FQ1 2005</stp>
        <stp>FQ1 2005</stp>
        <stp>[FA1_j2ahgkxc.xlsx]Cash Flow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4"/>
      </tp>
      <tp>
        <v>-10.425000000000001</v>
        <stp/>
        <stp>##V3_BDHV12</stp>
        <stp>AMZN US Equity</stp>
        <stp>ACQUIS_FXD_&amp;_INTANG_DETAILED</stp>
        <stp>FQ2 2001</stp>
        <stp>FQ2 2001</stp>
        <stp>[FA1_j2ahgkxc.xlsx]Cash Flow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4"/>
      </tp>
      <tp>
        <v>76.48</v>
        <stp/>
        <stp>##V3_BDHV12</stp>
        <stp>AMZN US Equity</stp>
        <stp>EARN_FOR_COMMON</stp>
        <stp>FQ2 2004</stp>
        <stp>FQ2 2004</stp>
        <stp>[FA1_j2ahgkxc.xlsx]Income - Adjusted!R31C24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31" s="2"/>
      </tp>
      <tp>
        <v>80</v>
        <stp/>
        <stp>##V3_BDHV12</stp>
        <stp>AMZN US Equity</stp>
        <stp>EARN_FOR_COMMON</stp>
        <stp>FQ3 2007</stp>
        <stp>FQ3 2007</stp>
        <stp>[FA1_j2ahgkxc.xlsx]Income - Adjusted!R31C37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31" s="2"/>
      </tp>
      <tp>
        <v>-234.131</v>
        <stp/>
        <stp>##V3_BDHV12</stp>
        <stp>AMZN US Equity</stp>
        <stp>EARN_FOR_COMMON</stp>
        <stp>FQ1 2001</stp>
        <stp>FQ1 2001</stp>
        <stp>[FA1_j2ahgkxc.xlsx]Income - Adjusted!R31C11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31" s="2"/>
      </tp>
      <tp>
        <v>-545.14</v>
        <stp/>
        <stp>##V3_BDHV12</stp>
        <stp>AMZN US Equity</stp>
        <stp>EARN_FOR_COMMON</stp>
        <stp>FQ4 2000</stp>
        <stp>FQ4 2000</stp>
        <stp>[FA1_j2ahgkxc.xlsx]Income - Adjusted!R31C10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31" s="2"/>
      </tp>
      <tp>
        <v>-0.01</v>
        <stp/>
        <stp>##V3_BDHV12</stp>
        <stp>AMZN US Equity</stp>
        <stp>IS_BASIC_EPS_CONT_OPS</stp>
        <stp>FQ1 2002</stp>
        <stp>FQ1 2002</stp>
        <stp>[FA1_j2ahgkxc.xlsx]Per Share!R16C15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6" s="5"/>
      </tp>
      <tp>
        <v>0.12</v>
        <stp/>
        <stp>##V3_BDHV12</stp>
        <stp>AMZN US Equity</stp>
        <stp>IS_BASIC_EPS_CONT_OPS</stp>
        <stp>FQ1 2006</stp>
        <stp>FQ1 2006</stp>
        <stp>[FA1_j2ahgkxc.xlsx]Per Share!R16C31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6" s="5"/>
      </tp>
      <tp>
        <v>0.24</v>
        <stp/>
        <stp>##V3_BDHV12</stp>
        <stp>AMZN US Equity</stp>
        <stp>IS_BASIC_EPS_CONT_OPS</stp>
        <stp>FQ1 2004</stp>
        <stp>FQ1 2004</stp>
        <stp>[FA1_j2ahgkxc.xlsx]Per Share!R16C23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6" s="5"/>
      </tp>
      <tp>
        <v>308.77800000000002</v>
        <stp/>
        <stp>##V3_BDHV12</stp>
        <stp>AMZN US Equity</stp>
        <stp>IS_SH_FOR_DILUTED_EPS</stp>
        <stp>FQ4 1998</stp>
        <stp>FQ4 1998</stp>
        <stp>[FA1_j2ahgkxc.xlsx]Per Share!R7C3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5"/>
      </tp>
      <tp>
        <v>322.33999999999997</v>
        <stp/>
        <stp>##V3_BDHV12</stp>
        <stp>AMZN US Equity</stp>
        <stp>IS_SH_FOR_DILUTED_EPS</stp>
        <stp>FQ2 1999</stp>
        <stp>FQ2 1999</stp>
        <stp>[FA1_j2ahgkxc.xlsx]Per Share!R7C5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5"/>
      </tp>
      <tp t="s">
        <v>—</v>
        <stp/>
        <stp>##V3_BDHV12</stp>
        <stp>AMZN US Equity</stp>
        <stp>FREE_CASH_FLOW_PER_SH</stp>
        <stp>FQ2 2000</stp>
        <stp>FQ2 2000</stp>
        <stp>[FA1_j2ahgkxc.xlsx]Cash Flow - Standardized!R52C8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2" s="4"/>
      </tp>
      <tp>
        <v>-0.12889999999999999</v>
        <stp/>
        <stp>##V3_BDHV12</stp>
        <stp>AMZN US Equity</stp>
        <stp>FREE_CASH_FLOW_PER_SH</stp>
        <stp>FQ3 2000</stp>
        <stp>FQ3 2000</stp>
        <stp>[FA1_j2ahgkxc.xlsx]Cash Flow - Standardized!R52C9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2" s="4"/>
      </tp>
      <tp>
        <v>0</v>
        <stp/>
        <stp>##V3_BDHV12</stp>
        <stp>AMZN US Equity</stp>
        <stp>IS_TOT_CASH_COM_DVD</stp>
        <stp>FQ4 2007</stp>
        <stp>FQ4 2007</stp>
        <stp>[FA1_j2ahgkxc.xlsx]Income - Adjusted!R55C38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2"/>
      </tp>
      <tp>
        <v>-258.17599999999999</v>
        <stp/>
        <stp>##V3_BDHV12</stp>
        <stp>AMZN US Equity</stp>
        <stp>CF_FREE_CASH_FLOW</stp>
        <stp>FQ1 2003</stp>
        <stp>FQ1 2003</stp>
        <stp>[FA1_j2ahgkxc.xlsx]Cash Flow - Standardized!R49C19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9" s="4"/>
      </tp>
      <tp>
        <v>1470</v>
        <stp/>
        <stp>##V3_BDHV12</stp>
        <stp>AMZN US Equity</stp>
        <stp>CF_FREE_CASH_FLOW</stp>
        <stp>FQ4 2008</stp>
        <stp>FQ4 2008</stp>
        <stp>[FA1_j2ahgkxc.xlsx]Cash Flow - Standardized!R49C42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9" s="4"/>
      </tp>
      <tp>
        <v>198</v>
        <stp/>
        <stp>##V3_BDHV12</stp>
        <stp>AMZN US Equity</stp>
        <stp>CF_FREE_CASH_FLOW</stp>
        <stp>FQ2 2005</stp>
        <stp>FQ2 2005</stp>
        <stp>[FA1_j2ahgkxc.xlsx]Cash Flow - Standardized!R49C28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9" s="4"/>
      </tp>
      <tp>
        <v>118.883</v>
        <stp/>
        <stp>##V3_BDHV12</stp>
        <stp>AMZN US Equity</stp>
        <stp>CF_FREE_CASH_FLOW</stp>
        <stp>FQ2 2003</stp>
        <stp>FQ2 2003</stp>
        <stp>[FA1_j2ahgkxc.xlsx]Cash Flow - Standardized!R49C20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9" s="4"/>
      </tp>
      <tp>
        <v>-426.42099999999999</v>
        <stp/>
        <stp>##V3_BDHV12</stp>
        <stp>AMZN US Equity</stp>
        <stp>CF_FREE_CASH_FLOW</stp>
        <stp>FQ1 2001</stp>
        <stp>FQ1 2001</stp>
        <stp>[FA1_j2ahgkxc.xlsx]Cash Flow - Standardized!R49C11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9" s="4"/>
      </tp>
      <tp>
        <v>0</v>
        <stp/>
        <stp>##V3_BDHV12</stp>
        <stp>AMZN US Equity</stp>
        <stp>IS_TOT_CASH_COM_DVD</stp>
        <stp>FQ3 2002</stp>
        <stp>FQ3 2002</stp>
        <stp>[FA1_j2ahgkxc.xlsx]Income - Adjusted!R55C17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2"/>
      </tp>
      <tp>
        <v>128.893</v>
        <stp/>
        <stp>##V3_BDHV12</stp>
        <stp>AMZN US Equity</stp>
        <stp>CF_FREE_CASH_FLOW</stp>
        <stp>FQ2 2004</stp>
        <stp>FQ2 2004</stp>
        <stp>[FA1_j2ahgkxc.xlsx]Cash Flow - Standardized!R49C24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9" s="4"/>
      </tp>
      <tp>
        <v>168</v>
        <stp/>
        <stp>##V3_BDHV12</stp>
        <stp>AMZN US Equity</stp>
        <stp>CF_FREE_CASH_FLOW</stp>
        <stp>FQ3 2007</stp>
        <stp>FQ3 2007</stp>
        <stp>[FA1_j2ahgkxc.xlsx]Cash Flow - Standardized!R49C37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9" s="4"/>
      </tp>
      <tp>
        <v>68</v>
        <stp/>
        <stp>##V3_BDHV12</stp>
        <stp>AMZN US Equity</stp>
        <stp>CF_FREE_CASH_FLOW</stp>
        <stp>FQ3 2006</stp>
        <stp>FQ3 2006</stp>
        <stp>[FA1_j2ahgkxc.xlsx]Cash Flow - Standardized!R49C33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9" s="4"/>
      </tp>
      <tp>
        <v>-245.887</v>
        <stp/>
        <stp>##V3_BDHV12</stp>
        <stp>AMZN US Equity</stp>
        <stp>CF_FREE_CASH_FLOW</stp>
        <stp>FQ1 2002</stp>
        <stp>FQ1 2002</stp>
        <stp>[FA1_j2ahgkxc.xlsx]Cash Flow - Standardized!R49C15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9" s="4"/>
      </tp>
      <tp>
        <v>0</v>
        <stp/>
        <stp>##V3_BDHV12</stp>
        <stp>AMZN US Equity</stp>
        <stp>CF_DECR_CAP_STOCK</stp>
        <stp>FQ4 2007</stp>
        <stp>FQ4 2007</stp>
        <stp>[FA1_j2ahgkxc.xlsx]Cash Flow - Standardized!R35C38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4"/>
      </tp>
      <tp>
        <v>0</v>
        <stp/>
        <stp>##V3_BDHV12</stp>
        <stp>AMZN US Equity</stp>
        <stp>CF_DECR_CAP_STOCK</stp>
        <stp>FQ3 2008</stp>
        <stp>FQ3 2008</stp>
        <stp>[FA1_j2ahgkxc.xlsx]Cash Flow - Standardized!R35C41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4"/>
      </tp>
      <tp>
        <v>0</v>
        <stp/>
        <stp>##V3_BDHV12</stp>
        <stp>AMZN US Equity</stp>
        <stp>IS_TOT_CASH_PFD_DVD</stp>
        <stp>FQ4 2007</stp>
        <stp>FQ4 2007</stp>
        <stp>[FA1_j2ahgkxc.xlsx]Income - Adjusted!R27C38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2"/>
      </tp>
      <tp>
        <v>0</v>
        <stp/>
        <stp>##V3_BDHV12</stp>
        <stp>AMZN US Equity</stp>
        <stp>CF_DECR_CAP_STOCK</stp>
        <stp>FQ4 2005</stp>
        <stp>FQ4 2005</stp>
        <stp>[FA1_j2ahgkxc.xlsx]Cash Flow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4"/>
      </tp>
      <tp>
        <v>0</v>
        <stp/>
        <stp>##V3_BDHV12</stp>
        <stp>AMZN US Equity</stp>
        <stp>CF_DECR_CAP_STOCK</stp>
        <stp>FQ4 2006</stp>
        <stp>FQ4 2006</stp>
        <stp>[FA1_j2ahgkxc.xlsx]Cash Flow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4"/>
      </tp>
      <tp>
        <v>0</v>
        <stp/>
        <stp>##V3_BDHV12</stp>
        <stp>AMZN US Equity</stp>
        <stp>IS_TOT_CASH_PFD_DVD</stp>
        <stp>FQ3 2002</stp>
        <stp>FQ3 2002</stp>
        <stp>[FA1_j2ahgkxc.xlsx]Income - Adjusted!R27C17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2"/>
      </tp>
      <tp t="s">
        <v>—</v>
        <stp/>
        <stp>##V3_BDHV12</stp>
        <stp>AMZN US Equity</stp>
        <stp>IS_SG&amp;A_EXPENSE</stp>
        <stp>FQ3 2005</stp>
        <stp>FQ3 2005</stp>
        <stp>[FA1_j2ahgkxc.xlsx]Income - Adjusted!R10C29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359.75200000000001</v>
        <stp/>
        <stp>##V3_BDHV12</stp>
        <stp>AMZN US Equity</stp>
        <stp>IS_AVG_NUM_SH_FOR_EPS</stp>
        <stp>FQ2 2001</stp>
        <stp>FQ2 2001</stp>
        <stp>[FA1_j2ahgkxc.xlsx]Income - Adjusted!R34C12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4" s="2"/>
      </tp>
      <tp>
        <v>393.87599999999998</v>
        <stp/>
        <stp>##V3_BDHV12</stp>
        <stp>AMZN US Equity</stp>
        <stp>IS_AVG_NUM_SH_FOR_EPS</stp>
        <stp>FQ2 2003</stp>
        <stp>FQ2 2003</stp>
        <stp>[FA1_j2ahgkxc.xlsx]Income - Adjusted!R34C20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4" s="2"/>
      </tp>
      <tp>
        <v>-323.21300000000002</v>
        <stp/>
        <stp>##V3_BDHV12</stp>
        <stp>AMZN US Equity</stp>
        <stp>EARN_FOR_COMMON</stp>
        <stp>FQ4 1999</stp>
        <stp>FQ4 1999</stp>
        <stp>[FA1_j2ahgkxc.xlsx]Income - Adjusted!R31C7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31" s="2"/>
      </tp>
      <tp t="s">
        <v>—</v>
        <stp/>
        <stp>##V3_BDHV12</stp>
        <stp>AMZN US Equity</stp>
        <stp>IS_NET_INTEREST_EXPENSE</stp>
        <stp>FQ3 1999</stp>
        <stp>FQ3 1999</stp>
        <stp>[FA1_j2ahgkxc.xlsx]Income - Adjusted!R13C6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 t="s">
        <v>—</v>
        <stp/>
        <stp>##V3_BDHV12</stp>
        <stp>AMZN US Equity</stp>
        <stp>IS_NET_INTEREST_EXPENSE</stp>
        <stp>FQ1 1999</stp>
        <stp>FQ1 1999</stp>
        <stp>[FA1_j2ahgkxc.xlsx]Income - Adjusted!R13C4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-0.25</v>
        <stp/>
        <stp>##V3_BDHV12</stp>
        <stp>AMZN US Equity</stp>
        <stp>IS_DIL_EPS_CONT_OPS</stp>
        <stp>FQ3 2000</stp>
        <stp>FQ3 2000</stp>
        <stp>[FA1_j2ahgkxc.xlsx]Per Share!R19C9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9" s="5"/>
      </tp>
      <tp>
        <v>70.477000000000004</v>
        <stp/>
        <stp>##V3_BDHV12</stp>
        <stp>AMZN US Equity</stp>
        <stp>GROSS_PROFIT</stp>
        <stp>FQ3 1999</stp>
        <stp>FQ3 1999</stp>
        <stp>[FA1_j2ahgkxc.xlsx]Income - Adjusted!R8C6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64.790999999999997</v>
        <stp/>
        <stp>##V3_BDHV12</stp>
        <stp>AMZN US Equity</stp>
        <stp>GROSS_PROFIT</stp>
        <stp>FQ1 1999</stp>
        <stp>FQ1 1999</stp>
        <stp>[FA1_j2ahgkxc.xlsx]Income - Adjusted!R8C4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-2.2100000000000002E-2</v>
        <stp/>
        <stp>##V3_BDHV12</stp>
        <stp>AMZN US Equity</stp>
        <stp>FREE_CASH_FLOW_PER_SH</stp>
        <stp>FQ2 2001</stp>
        <stp>FQ2 2001</stp>
        <stp>[FA1_j2ahgkxc.xlsx]Per Share!R23C12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3" s="5"/>
      </tp>
      <tp>
        <v>0.30180000000000001</v>
        <stp/>
        <stp>##V3_BDHV12</stp>
        <stp>AMZN US Equity</stp>
        <stp>FREE_CASH_FLOW_PER_SH</stp>
        <stp>FQ2 2003</stp>
        <stp>FQ2 2003</stp>
        <stp>[FA1_j2ahgkxc.xlsx]Per Share!R23C20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3" s="5"/>
      </tp>
      <tp>
        <v>-4.8540000000000001</v>
        <stp/>
        <stp>##V3_BDHV12</stp>
        <stp>AMZN US Equity</stp>
        <stp>ACQUIS_FXD_&amp;_INTANG_DETAILED</stp>
        <stp>FQ1 2002</stp>
        <stp>FQ1 2002</stp>
        <stp>[FA1_j2ahgkxc.xlsx]Cash Flow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4"/>
      </tp>
      <tp>
        <v>-62</v>
        <stp/>
        <stp>##V3_BDHV12</stp>
        <stp>AMZN US Equity</stp>
        <stp>ACQUIS_FXD_&amp;_INTANG_DETAILED</stp>
        <stp>FQ3 2006</stp>
        <stp>FQ3 2006</stp>
        <stp>[FA1_j2ahgkxc.xlsx]Cash Flow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4"/>
      </tp>
      <tp>
        <v>-14.143000000000001</v>
        <stp/>
        <stp>##V3_BDHV12</stp>
        <stp>AMZN US Equity</stp>
        <stp>ACQUIS_FXD_&amp;_INTANG_DETAILED</stp>
        <stp>FQ2 2004</stp>
        <stp>FQ2 2004</stp>
        <stp>[FA1_j2ahgkxc.xlsx]Cash Flow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4"/>
      </tp>
      <tp>
        <v>-69</v>
        <stp/>
        <stp>##V3_BDHV12</stp>
        <stp>AMZN US Equity</stp>
        <stp>ACQUIS_FXD_&amp;_INTANG_DETAILED</stp>
        <stp>FQ3 2007</stp>
        <stp>FQ3 2007</stp>
        <stp>[FA1_j2ahgkxc.xlsx]Cash Flow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4"/>
      </tp>
      <tp>
        <v>7</v>
        <stp/>
        <stp>##V3_BDHV12</stp>
        <stp>AMZN US Equity</stp>
        <stp>IS_NET_INTEREST_EXPENSE</stp>
        <stp>FQ3 2006</stp>
        <stp>FQ3 2006</stp>
        <stp>[FA1_j2ahgkxc.xlsx]Income - Adjusted!R13C33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 t="s">
        <v>—</v>
        <stp/>
        <stp>##V3_BDHV12</stp>
        <stp>AMZN US Equity</stp>
        <stp>IS_NET_INTEREST_EXPENSE</stp>
        <stp>FQ3 2002</stp>
        <stp>FQ3 2002</stp>
        <stp>[FA1_j2ahgkxc.xlsx]Income - Adjusted!R13C17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 t="s">
        <v>—</v>
        <stp/>
        <stp>##V3_BDHV12</stp>
        <stp>AMZN US Equity</stp>
        <stp>IS_NET_INTEREST_EXPENSE</stp>
        <stp>FQ4 2001</stp>
        <stp>FQ4 2001</stp>
        <stp>[FA1_j2ahgkxc.xlsx]Income - Adjusted!R13C14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>
        <v>8</v>
        <stp/>
        <stp>##V3_BDHV12</stp>
        <stp>AMZN US Equity</stp>
        <stp>IS_NET_INTEREST_EXPENSE</stp>
        <stp>FQ4 2005</stp>
        <stp>FQ4 2005</stp>
        <stp>[FA1_j2ahgkxc.xlsx]Income - Adjusted!R13C30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>
        <v>-19.437000000000001</v>
        <stp/>
        <stp>##V3_BDHV12</stp>
        <stp>AMZN US Equity</stp>
        <stp>ACQUIS_FXD_&amp;_INTANG_DETAILED</stp>
        <stp>FQ1 2001</stp>
        <stp>FQ1 2001</stp>
        <stp>[FA1_j2ahgkxc.xlsx]Cash Flow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4"/>
      </tp>
      <tp>
        <v>-7.141</v>
        <stp/>
        <stp>##V3_BDHV12</stp>
        <stp>AMZN US Equity</stp>
        <stp>ACQUIS_FXD_&amp;_INTANG_DETAILED</stp>
        <stp>FQ2 2003</stp>
        <stp>FQ2 2003</stp>
        <stp>[FA1_j2ahgkxc.xlsx]Cash Flow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4"/>
      </tp>
      <tp>
        <v>-168.35900000000001</v>
        <stp/>
        <stp>##V3_BDHV12</stp>
        <stp>AMZN US Equity</stp>
        <stp>EARN_FOR_COMMON</stp>
        <stp>FQ2 2001</stp>
        <stp>FQ2 2001</stp>
        <stp>[FA1_j2ahgkxc.xlsx]Income - Adjusted!R31C12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31" s="2"/>
      </tp>
      <tp>
        <v>-43.314</v>
        <stp/>
        <stp>##V3_BDHV12</stp>
        <stp>AMZN US Equity</stp>
        <stp>EARN_FOR_COMMON</stp>
        <stp>FQ2 2003</stp>
        <stp>FQ2 2003</stp>
        <stp>[FA1_j2ahgkxc.xlsx]Income - Adjusted!R31C20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31" s="2"/>
      </tp>
      <tp>
        <v>-101</v>
        <stp/>
        <stp>##V3_BDHV12</stp>
        <stp>AMZN US Equity</stp>
        <stp>ACQUIS_FXD_&amp;_INTANG_DETAILED</stp>
        <stp>FQ4 2008</stp>
        <stp>FQ4 2008</stp>
        <stp>[FA1_j2ahgkxc.xlsx]Cash Flow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4"/>
      </tp>
      <tp>
        <v>-0.01</v>
        <stp/>
        <stp>##V3_BDHV12</stp>
        <stp>AMZN US Equity</stp>
        <stp>IS_BASIC_EPS_CONT_OPS</stp>
        <stp>FQ2 2002</stp>
        <stp>FQ2 2002</stp>
        <stp>[FA1_j2ahgkxc.xlsx]Per Share!R16C16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6" s="5"/>
      </tp>
      <tp>
        <v>0.05</v>
        <stp/>
        <stp>##V3_BDHV12</stp>
        <stp>AMZN US Equity</stp>
        <stp>IS_BASIC_EPS_CONT_OPS</stp>
        <stp>FQ2 2006</stp>
        <stp>FQ2 2006</stp>
        <stp>[FA1_j2ahgkxc.xlsx]Per Share!R16C32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6" s="5"/>
      </tp>
      <tp>
        <v>-46</v>
        <stp/>
        <stp>##V3_BDHV12</stp>
        <stp>AMZN US Equity</stp>
        <stp>ACQUIS_FXD_&amp;_INTANG_DETAILED</stp>
        <stp>FQ2 2005</stp>
        <stp>FQ2 2005</stp>
        <stp>[FA1_j2ahgkxc.xlsx]Cash Flow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4"/>
      </tp>
      <tp>
        <v>-6.3940000000000001</v>
        <stp/>
        <stp>##V3_BDHV12</stp>
        <stp>AMZN US Equity</stp>
        <stp>ACQUIS_FXD_&amp;_INTANG_DETAILED</stp>
        <stp>FQ1 2003</stp>
        <stp>FQ1 2003</stp>
        <stp>[FA1_j2ahgkxc.xlsx]Cash Flow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4"/>
      </tp>
      <tp>
        <v>0</v>
        <stp/>
        <stp>##V3_BDHV12</stp>
        <stp>AMZN US Equity</stp>
        <stp>EQY_DPS</stp>
        <stp>FQ2 2005</stp>
        <stp>FQ2 2005</stp>
        <stp>[FA1_j2ahgkxc.xlsx]Per Share!R20C28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0" s="5"/>
      </tp>
      <tp>
        <v>217</v>
        <stp/>
        <stp>##V3_BDHV12</stp>
        <stp>AMZN US Equity</stp>
        <stp>EBITA</stp>
        <stp>FQ2 2008</stp>
        <stp>FQ2 2008</stp>
        <stp>[FA1_j2ahgkxc.xlsx]Income - Adjusted!R48C40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8" s="2"/>
      </tp>
      <tp>
        <v>75.078999999999994</v>
        <stp/>
        <stp>##V3_BDHV12</stp>
        <stp>AMZN US Equity</stp>
        <stp>NON_CASH_ITEMS_DETAILED</stp>
        <stp>FQ1 2000</stp>
        <stp>FQ1 2000</stp>
        <stp>[FA1_j2ahgkxc.xlsx]Cash Flow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6</v>
        <stp/>
        <stp>##V3_BDHV12</stp>
        <stp>AMZN US Equity</stp>
        <stp>OTHER_INS_RES_TO_SHRHLDR_EQY</stp>
        <stp>FQ2 2008</stp>
        <stp>FQ2 2008</stp>
        <stp>[FA1_j2ahgkxc.xlsx]Bal Sheet - Standardized!R51C40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1" s="3"/>
      </tp>
      <tp>
        <v>-73</v>
        <stp/>
        <stp>##V3_BDHV12</stp>
        <stp>AMZN US Equity</stp>
        <stp>OTHER_INS_RES_TO_SHRHLDR_EQY</stp>
        <stp>FQ3 2008</stp>
        <stp>FQ3 2008</stp>
        <stp>[FA1_j2ahgkxc.xlsx]Bal Sheet - Standardized!R51C41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1" s="3"/>
      </tp>
      <tp>
        <v>100.554</v>
        <stp/>
        <stp>##V3_BDHV12</stp>
        <stp>AMZN US Equity</stp>
        <stp>NON_CASH_ITEMS_DETAILED</stp>
        <stp>FQ2 2000</stp>
        <stp>FQ2 2000</stp>
        <stp>[FA1_j2ahgkxc.xlsx]Cash Flow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101.364</v>
        <stp/>
        <stp>##V3_BDHV12</stp>
        <stp>AMZN US Equity</stp>
        <stp>NON_CASH_ITEMS_DETAILED</stp>
        <stp>FQ3 2000</stp>
        <stp>FQ3 2000</stp>
        <stp>[FA1_j2ahgkxc.xlsx]Cash Flow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340.78699999999998</v>
        <stp/>
        <stp>##V3_BDHV12</stp>
        <stp>AMZN US Equity</stp>
        <stp>EQY_SH_OUT</stp>
        <stp>FQ4 1999</stp>
        <stp>FQ4 1999</stp>
        <stp>[FA1_j2ahgkxc.xlsx]Stock Value!R13C6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3" s="6"/>
      </tp>
      <tp>
        <v>77</v>
        <stp/>
        <stp>##V3_BDHV12</stp>
        <stp>AMZN US Equity</stp>
        <stp>CF_FREE_CASH_FLOW</stp>
        <stp>FQ3 2005</stp>
        <stp>FQ3 2005</stp>
        <stp>[FA1_j2ahgkxc.xlsx]Cash Flow - Standardized!R49C29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9" s="4"/>
      </tp>
      <tp>
        <v>21.625</v>
        <stp/>
        <stp>##V3_BDHV12</stp>
        <stp>AMZN US Equity</stp>
        <stp>CF_FREE_CASH_FLOW</stp>
        <stp>FQ3 2003</stp>
        <stp>FQ3 2003</stp>
        <stp>[FA1_j2ahgkxc.xlsx]Cash Flow - Standardized!R49C21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9" s="4"/>
      </tp>
      <tp>
        <v>87.923000000000002</v>
        <stp/>
        <stp>##V3_BDHV12</stp>
        <stp>AMZN US Equity</stp>
        <stp>CF_FREE_CASH_FLOW</stp>
        <stp>FQ3 2004</stp>
        <stp>FQ3 2004</stp>
        <stp>[FA1_j2ahgkxc.xlsx]Cash Flow - Standardized!R49C25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9" s="4"/>
      </tp>
      <tp>
        <v>0</v>
        <stp/>
        <stp>##V3_BDHV12</stp>
        <stp>AMZN US Equity</stp>
        <stp>IS_TOT_CASH_COM_DVD</stp>
        <stp>FQ2 2002</stp>
        <stp>FQ2 2002</stp>
        <stp>[FA1_j2ahgkxc.xlsx]Income - Adjusted!R55C16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2"/>
      </tp>
      <tp>
        <v>252</v>
        <stp/>
        <stp>##V3_BDHV12</stp>
        <stp>AMZN US Equity</stp>
        <stp>CF_FREE_CASH_FLOW</stp>
        <stp>FQ2 2007</stp>
        <stp>FQ2 2007</stp>
        <stp>[FA1_j2ahgkxc.xlsx]Cash Flow - Standardized!R49C36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9" s="4"/>
      </tp>
      <tp>
        <v>0</v>
        <stp/>
        <stp>##V3_BDHV12</stp>
        <stp>AMZN US Equity</stp>
        <stp>IS_TOT_CASH_COM_DVD</stp>
        <stp>FQ4 2006</stp>
        <stp>FQ4 2006</stp>
        <stp>[FA1_j2ahgkxc.xlsx]Income - Adjusted!R55C34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2"/>
      </tp>
      <tp>
        <v>72</v>
        <stp/>
        <stp>##V3_BDHV12</stp>
        <stp>AMZN US Equity</stp>
        <stp>CF_FREE_CASH_FLOW</stp>
        <stp>FQ2 2006</stp>
        <stp>FQ2 2006</stp>
        <stp>[FA1_j2ahgkxc.xlsx]Cash Flow - Standardized!R49C32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9" s="4"/>
      </tp>
      <tp>
        <v>0</v>
        <stp/>
        <stp>##V3_BDHV12</stp>
        <stp>AMZN US Equity</stp>
        <stp>IS_TOT_CASH_COM_DVD</stp>
        <stp>FQ1 2001</stp>
        <stp>FQ1 2001</stp>
        <stp>[FA1_j2ahgkxc.xlsx]Income - Adjusted!R55C11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2"/>
      </tp>
      <tp>
        <v>-41.948</v>
        <stp/>
        <stp>##V3_BDHV12</stp>
        <stp>AMZN US Equity</stp>
        <stp>ACQUIS_FXD_&amp;_INTANG_DETAILED</stp>
        <stp>FQ3 2000</stp>
        <stp>FQ3 2000</stp>
        <stp>[FA1_j2ahgkxc.xlsx]Cash Flow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4"/>
      </tp>
      <tp>
        <v>-28.878</v>
        <stp/>
        <stp>##V3_BDHV12</stp>
        <stp>AMZN US Equity</stp>
        <stp>ACQUIS_FXD_&amp;_INTANG_DETAILED</stp>
        <stp>FQ2 2000</stp>
        <stp>FQ2 2000</stp>
        <stp>[FA1_j2ahgkxc.xlsx]Cash Flow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4"/>
      </tp>
      <tp>
        <v>193.374</v>
        <stp/>
        <stp>##V3_BDHV12</stp>
        <stp>AMZN US Equity</stp>
        <stp>INC_DEC_IN_OT_OP_AST_LIAB_DETAIL</stp>
        <stp>FQ4 2001</stp>
        <stp>FQ4 2001</stp>
        <stp>[FA1_j2ahgkxc.xlsx]Cash Flow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4"/>
      </tp>
      <tp>
        <v>0</v>
        <stp/>
        <stp>##V3_BDHV12</stp>
        <stp>AMZN US Equity</stp>
        <stp>CF_DECR_CAP_STOCK</stp>
        <stp>FQ2 2008</stp>
        <stp>FQ2 2008</stp>
        <stp>[FA1_j2ahgkxc.xlsx]Cash Flow - Standardized!R35C40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4"/>
      </tp>
      <tp>
        <v>239.398</v>
        <stp/>
        <stp>##V3_BDHV12</stp>
        <stp>AMZN US Equity</stp>
        <stp>BS_NET_FIX_ASSET</stp>
        <stp>FQ4 2002</stp>
        <stp>FQ4 2002</stp>
        <stp>[FA1_j2ahgkxc.xlsx]Bal Sheet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3"/>
      </tp>
      <tp>
        <v>406.755</v>
        <stp/>
        <stp>##V3_BDHV12</stp>
        <stp>AMZN US Equity</stp>
        <stp>INC_DEC_IN_OT_OP_AST_LIAB_DETAIL</stp>
        <stp>FQ4 2000</stp>
        <stp>FQ4 2000</stp>
        <stp>[FA1_j2ahgkxc.xlsx]Cash Flow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4"/>
      </tp>
      <tp>
        <v>0</v>
        <stp/>
        <stp>##V3_BDHV12</stp>
        <stp>AMZN US Equity</stp>
        <stp>IS_TOT_CASH_PFD_DVD</stp>
        <stp>FQ4 2006</stp>
        <stp>FQ4 2006</stp>
        <stp>[FA1_j2ahgkxc.xlsx]Income - Adjusted!R27C34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2"/>
      </tp>
      <tp>
        <v>366.416</v>
        <stp/>
        <stp>##V3_BDHV12</stp>
        <stp>AMZN US Equity</stp>
        <stp>BS_NET_FIX_ASSET</stp>
        <stp>FQ4 2000</stp>
        <stp>FQ4 2000</stp>
        <stp>[FA1_j2ahgkxc.xlsx]Bal Sheet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3"/>
      </tp>
      <tp>
        <v>0</v>
        <stp/>
        <stp>##V3_BDHV12</stp>
        <stp>AMZN US Equity</stp>
        <stp>IS_TOT_CASH_PFD_DVD</stp>
        <stp>FQ1 2001</stp>
        <stp>FQ1 2001</stp>
        <stp>[FA1_j2ahgkxc.xlsx]Income - Adjusted!R27C11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2"/>
      </tp>
      <tp>
        <v>271.75099999999998</v>
        <stp/>
        <stp>##V3_BDHV12</stp>
        <stp>AMZN US Equity</stp>
        <stp>BS_NET_FIX_ASSET</stp>
        <stp>FQ4 2001</stp>
        <stp>FQ4 2001</stp>
        <stp>[FA1_j2ahgkxc.xlsx]Bal Sheet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3"/>
      </tp>
      <tp>
        <v>-26.600999999999999</v>
        <stp/>
        <stp>##V3_BDHV12</stp>
        <stp>AMZN US Equity</stp>
        <stp>ACQUIS_FXD_&amp;_INTANG_DETAILED</stp>
        <stp>FQ1 2000</stp>
        <stp>FQ1 2000</stp>
        <stp>[FA1_j2ahgkxc.xlsx]Cash Flow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4"/>
      </tp>
      <tp>
        <v>0</v>
        <stp/>
        <stp>##V3_BDHV12</stp>
        <stp>AMZN US Equity</stp>
        <stp>CF_DECR_CAP_STOCK</stp>
        <stp>FQ4 2004</stp>
        <stp>FQ4 2004</stp>
        <stp>[FA1_j2ahgkxc.xlsx]Cash Flow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4"/>
      </tp>
      <tp>
        <v>265.79300000000001</v>
        <stp/>
        <stp>##V3_BDHV12</stp>
        <stp>AMZN US Equity</stp>
        <stp>INC_DEC_IN_OT_OP_AST_LIAB_DETAIL</stp>
        <stp>FQ4 2002</stp>
        <stp>FQ4 2002</stp>
        <stp>[FA1_j2ahgkxc.xlsx]Cash Flow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4"/>
      </tp>
      <tp>
        <v>0</v>
        <stp/>
        <stp>##V3_BDHV12</stp>
        <stp>AMZN US Equity</stp>
        <stp>CF_DECR_CAP_STOCK</stp>
        <stp>FQ4 2003</stp>
        <stp>FQ4 2003</stp>
        <stp>[FA1_j2ahgkxc.xlsx]Cash Flow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4"/>
      </tp>
      <tp>
        <v>0</v>
        <stp/>
        <stp>##V3_BDHV12</stp>
        <stp>AMZN US Equity</stp>
        <stp>IS_TOT_CASH_PFD_DVD</stp>
        <stp>FQ2 2002</stp>
        <stp>FQ2 2002</stp>
        <stp>[FA1_j2ahgkxc.xlsx]Income - Adjusted!R27C16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2"/>
      </tp>
      <tp t="s">
        <v>—</v>
        <stp/>
        <stp>##V3_BDHV12</stp>
        <stp>AMZN US Equity</stp>
        <stp>IS_SG&amp;A_EXPENSE</stp>
        <stp>FQ2 2005</stp>
        <stp>FQ2 2005</stp>
        <stp>[FA1_j2ahgkxc.xlsx]Income - Adjusted!R10C28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>
        <v>416</v>
        <stp/>
        <stp>##V3_BDHV12</stp>
        <stp>AMZN US Equity</stp>
        <stp>IS_AVG_NUM_SH_FOR_EPS</stp>
        <stp>FQ4 2006</stp>
        <stp>FQ4 2006</stp>
        <stp>[FA1_j2ahgkxc.xlsx]Income - Adjusted!R34C34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4" s="2"/>
      </tp>
      <tp>
        <v>408.22699999999998</v>
        <stp/>
        <stp>##V3_BDHV12</stp>
        <stp>AMZN US Equity</stp>
        <stp>IS_AVG_NUM_SH_FOR_EPS</stp>
        <stp>FQ4 2004</stp>
        <stp>FQ4 2004</stp>
        <stp>[FA1_j2ahgkxc.xlsx]Income - Adjusted!R34C26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4" s="2"/>
      </tp>
      <tp>
        <v>412</v>
        <stp/>
        <stp>##V3_BDHV12</stp>
        <stp>AMZN US Equity</stp>
        <stp>IS_AVG_NUM_SH_FOR_EPS</stp>
        <stp>FQ1 2007</stp>
        <stp>FQ1 2007</stp>
        <stp>[FA1_j2ahgkxc.xlsx]Income - Adjusted!R34C35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4" s="2"/>
      </tp>
      <tp>
        <v>410</v>
        <stp/>
        <stp>##V3_BDHV12</stp>
        <stp>AMZN US Equity</stp>
        <stp>IS_AVG_NUM_SH_FOR_EPS</stp>
        <stp>FQ1 2005</stp>
        <stp>FQ1 2005</stp>
        <stp>[FA1_j2ahgkxc.xlsx]Income - Adjusted!R34C27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4" s="2"/>
      </tp>
      <tp>
        <v>397.91199999999998</v>
        <stp/>
        <stp>##V3_BDHV12</stp>
        <stp>AMZN US Equity</stp>
        <stp>IS_AVG_NUM_SH_FOR_EPS</stp>
        <stp>FQ3 2003</stp>
        <stp>FQ3 2003</stp>
        <stp>[FA1_j2ahgkxc.xlsx]Income - Adjusted!R34C21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4" s="2"/>
      </tp>
      <tp>
        <v>368.05200000000002</v>
        <stp/>
        <stp>##V3_BDHV12</stp>
        <stp>AMZN US Equity</stp>
        <stp>IS_AVG_NUM_SH_FOR_EPS</stp>
        <stp>FQ3 2001</stp>
        <stp>FQ3 2001</stp>
        <stp>[FA1_j2ahgkxc.xlsx]Income - Adjusted!R34C13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4" s="2"/>
      </tp>
      <tp>
        <v>-0.78049999999999997</v>
        <stp/>
        <stp>##V3_BDHV12</stp>
        <stp>AMZN US Equity</stp>
        <stp>FREE_CASH_FLOW_PER_SH</stp>
        <stp>FQ1 2005</stp>
        <stp>FQ1 2005</stp>
        <stp>[FA1_j2ahgkxc.xlsx]Per Share!R23C27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3" s="5"/>
      </tp>
      <tp>
        <v>-0.75970000000000004</v>
        <stp/>
        <stp>##V3_BDHV12</stp>
        <stp>AMZN US Equity</stp>
        <stp>FREE_CASH_FLOW_PER_SH</stp>
        <stp>FQ1 2007</stp>
        <stp>FQ1 2007</stp>
        <stp>[FA1_j2ahgkxc.xlsx]Per Share!R23C35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3" s="5"/>
      </tp>
      <tp>
        <v>5.4300000000000001E-2</v>
        <stp/>
        <stp>##V3_BDHV12</stp>
        <stp>AMZN US Equity</stp>
        <stp>FREE_CASH_FLOW_PER_SH</stp>
        <stp>FQ3 2003</stp>
        <stp>FQ3 2003</stp>
        <stp>[FA1_j2ahgkxc.xlsx]Per Share!R23C21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3" s="5"/>
      </tp>
      <tp>
        <v>-0.21010000000000001</v>
        <stp/>
        <stp>##V3_BDHV12</stp>
        <stp>AMZN US Equity</stp>
        <stp>FREE_CASH_FLOW_PER_SH</stp>
        <stp>FQ3 2001</stp>
        <stp>FQ3 2001</stp>
        <stp>[FA1_j2ahgkxc.xlsx]Per Share!R23C13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3" s="5"/>
      </tp>
      <tp>
        <v>1.2758</v>
        <stp/>
        <stp>##V3_BDHV12</stp>
        <stp>AMZN US Equity</stp>
        <stp>FREE_CASH_FLOW_PER_SH</stp>
        <stp>FQ4 2004</stp>
        <stp>FQ4 2004</stp>
        <stp>[FA1_j2ahgkxc.xlsx]Per Share!R23C26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3" s="5"/>
      </tp>
      <tp>
        <v>1.6707000000000001</v>
        <stp/>
        <stp>##V3_BDHV12</stp>
        <stp>AMZN US Equity</stp>
        <stp>FREE_CASH_FLOW_PER_SH</stp>
        <stp>FQ4 2006</stp>
        <stp>FQ4 2006</stp>
        <stp>[FA1_j2ahgkxc.xlsx]Per Share!R23C34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3" s="5"/>
      </tp>
      <tp>
        <v>-58</v>
        <stp/>
        <stp>##V3_BDHV12</stp>
        <stp>AMZN US Equity</stp>
        <stp>ACQUIS_FXD_&amp;_INTANG_DETAILED</stp>
        <stp>FQ2 2006</stp>
        <stp>FQ2 2006</stp>
        <stp>[FA1_j2ahgkxc.xlsx]Cash Flow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4"/>
      </tp>
      <tp>
        <v>-28.722000000000001</v>
        <stp/>
        <stp>##V3_BDHV12</stp>
        <stp>AMZN US Equity</stp>
        <stp>ACQUIS_FXD_&amp;_INTANG_DETAILED</stp>
        <stp>FQ3 2004</stp>
        <stp>FQ3 2004</stp>
        <stp>[FA1_j2ahgkxc.xlsx]Cash Flow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4"/>
      </tp>
      <tp>
        <v>-47</v>
        <stp/>
        <stp>##V3_BDHV12</stp>
        <stp>AMZN US Equity</stp>
        <stp>ACQUIS_FXD_&amp;_INTANG_DETAILED</stp>
        <stp>FQ2 2007</stp>
        <stp>FQ2 2007</stp>
        <stp>[FA1_j2ahgkxc.xlsx]Cash Flow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4"/>
      </tp>
      <tp t="s">
        <v>—</v>
        <stp/>
        <stp>##V3_BDHV12</stp>
        <stp>AMZN US Equity</stp>
        <stp>IS_NET_INTEREST_EXPENSE</stp>
        <stp>FQ2 2006</stp>
        <stp>FQ2 2006</stp>
        <stp>[FA1_j2ahgkxc.xlsx]Income - Adjusted!R13C32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 t="s">
        <v>—</v>
        <stp/>
        <stp>##V3_BDHV12</stp>
        <stp>AMZN US Equity</stp>
        <stp>IS_NET_INTEREST_EXPENSE</stp>
        <stp>FQ2 2002</stp>
        <stp>FQ2 2002</stp>
        <stp>[FA1_j2ahgkxc.xlsx]Income - Adjusted!R13C16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>
        <v>-15.192</v>
        <stp/>
        <stp>##V3_BDHV12</stp>
        <stp>AMZN US Equity</stp>
        <stp>ACQUIS_FXD_&amp;_INTANG_DETAILED</stp>
        <stp>FQ3 2003</stp>
        <stp>FQ3 2003</stp>
        <stp>[FA1_j2ahgkxc.xlsx]Cash Flow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4"/>
      </tp>
      <tp>
        <v>15.563000000000001</v>
        <stp/>
        <stp>##V3_BDHV12</stp>
        <stp>AMZN US Equity</stp>
        <stp>EARN_FOR_COMMON</stp>
        <stp>FQ3 2003</stp>
        <stp>FQ3 2003</stp>
        <stp>[FA1_j2ahgkxc.xlsx]Income - Adjusted!R31C21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31" s="2"/>
      </tp>
      <tp>
        <v>-169.874</v>
        <stp/>
        <stp>##V3_BDHV12</stp>
        <stp>AMZN US Equity</stp>
        <stp>EARN_FOR_COMMON</stp>
        <stp>FQ3 2001</stp>
        <stp>FQ3 2001</stp>
        <stp>[FA1_j2ahgkxc.xlsx]Income - Adjusted!R31C13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31" s="2"/>
      </tp>
      <tp>
        <v>78</v>
        <stp/>
        <stp>##V3_BDHV12</stp>
        <stp>AMZN US Equity</stp>
        <stp>EARN_FOR_COMMON</stp>
        <stp>FQ1 2005</stp>
        <stp>FQ1 2005</stp>
        <stp>[FA1_j2ahgkxc.xlsx]Income - Adjusted!R31C27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31" s="2"/>
      </tp>
      <tp>
        <v>111</v>
        <stp/>
        <stp>##V3_BDHV12</stp>
        <stp>AMZN US Equity</stp>
        <stp>EARN_FOR_COMMON</stp>
        <stp>FQ1 2007</stp>
        <stp>FQ1 2007</stp>
        <stp>[FA1_j2ahgkxc.xlsx]Income - Adjusted!R31C35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31" s="2"/>
      </tp>
      <tp>
        <v>346.68799999999999</v>
        <stp/>
        <stp>##V3_BDHV12</stp>
        <stp>AMZN US Equity</stp>
        <stp>EARN_FOR_COMMON</stp>
        <stp>FQ4 2004</stp>
        <stp>FQ4 2004</stp>
        <stp>[FA1_j2ahgkxc.xlsx]Income - Adjusted!R31C26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31" s="2"/>
      </tp>
      <tp>
        <v>98</v>
        <stp/>
        <stp>##V3_BDHV12</stp>
        <stp>AMZN US Equity</stp>
        <stp>EARN_FOR_COMMON</stp>
        <stp>FQ4 2006</stp>
        <stp>FQ4 2006</stp>
        <stp>[FA1_j2ahgkxc.xlsx]Income - Adjusted!R31C34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31" s="2"/>
      </tp>
      <tp>
        <v>0.26</v>
        <stp/>
        <stp>##V3_BDHV12</stp>
        <stp>AMZN US Equity</stp>
        <stp>IS_BASIC_EPS_CONT_OPS</stp>
        <stp>FQ4 2005</stp>
        <stp>FQ4 2005</stp>
        <stp>[FA1_j2ahgkxc.xlsx]Per Share!R16C30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6" s="5"/>
      </tp>
      <tp>
        <v>0.09</v>
        <stp/>
        <stp>##V3_BDHV12</stp>
        <stp>AMZN US Equity</stp>
        <stp>IS_BASIC_EPS_CONT_OPS</stp>
        <stp>FQ4 2001</stp>
        <stp>FQ4 2001</stp>
        <stp>[FA1_j2ahgkxc.xlsx]Per Share!R16C14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6" s="5"/>
      </tp>
      <tp>
        <v>0</v>
        <stp/>
        <stp>##V3_BDHV12</stp>
        <stp>AMZN US Equity</stp>
        <stp>IS_BASIC_EPS_CONT_OPS</stp>
        <stp>FQ3 2002</stp>
        <stp>FQ3 2002</stp>
        <stp>[FA1_j2ahgkxc.xlsx]Per Share!R16C17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6" s="5"/>
      </tp>
      <tp>
        <v>0.05</v>
        <stp/>
        <stp>##V3_BDHV12</stp>
        <stp>AMZN US Equity</stp>
        <stp>IS_BASIC_EPS_CONT_OPS</stp>
        <stp>FQ3 2006</stp>
        <stp>FQ3 2006</stp>
        <stp>[FA1_j2ahgkxc.xlsx]Per Share!R16C33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6" s="5"/>
      </tp>
      <tp>
        <v>-76</v>
        <stp/>
        <stp>##V3_BDHV12</stp>
        <stp>AMZN US Equity</stp>
        <stp>ACQUIS_FXD_&amp;_INTANG_DETAILED</stp>
        <stp>FQ3 2005</stp>
        <stp>FQ3 2005</stp>
        <stp>[FA1_j2ahgkxc.xlsx]Cash Flow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4"/>
      </tp>
      <tp>
        <v>313.79399999999998</v>
        <stp/>
        <stp>##V3_BDHV12</stp>
        <stp>AMZN US Equity</stp>
        <stp>IS_SH_FOR_DILUTED_EPS</stp>
        <stp>FQ1 1999</stp>
        <stp>FQ1 1999</stp>
        <stp>[FA1_j2ahgkxc.xlsx]Per Share!R7C4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5"/>
      </tp>
      <tp>
        <v>332.488</v>
        <stp/>
        <stp>##V3_BDHV12</stp>
        <stp>AMZN US Equity</stp>
        <stp>IS_SH_FOR_DILUTED_EPS</stp>
        <stp>FQ3 1999</stp>
        <stp>FQ3 1999</stp>
        <stp>[FA1_j2ahgkxc.xlsx]Per Share!R7C6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5"/>
      </tp>
      <tp>
        <v>0</v>
        <stp/>
        <stp>##V3_BDHV12</stp>
        <stp>AMZN US Equity</stp>
        <stp>EQY_DPS</stp>
        <stp>FQ3 2005</stp>
        <stp>FQ3 2005</stp>
        <stp>[FA1_j2ahgkxc.xlsx]Per Share!R20C29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0" s="5"/>
      </tp>
      <tp>
        <v>154</v>
        <stp/>
        <stp>##V3_BDHV12</stp>
        <stp>AMZN US Equity</stp>
        <stp>EBITA</stp>
        <stp>FQ3 2008</stp>
        <stp>FQ3 2008</stp>
        <stp>[FA1_j2ahgkxc.xlsx]Income - Adjusted!R48C41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8" s="2"/>
      </tp>
      <tp>
        <v>12.235099999999999</v>
        <stp/>
        <stp>##V3_BDHV12</stp>
        <stp>AMZN US Equity</stp>
        <stp>OTHER_INS_RES_TO_SHRHLDR_EQY</stp>
        <stp>FQ1 2003</stp>
        <stp>FQ1 2003</stp>
        <stp>[FA1_j2ahgkxc.xlsx]Bal Sheet - Standardized!R51C19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1" s="3"/>
      </tp>
      <tp>
        <v>5</v>
        <stp/>
        <stp>##V3_BDHV12</stp>
        <stp>AMZN US Equity</stp>
        <stp>OTHER_INS_RES_TO_SHRHLDR_EQY</stp>
        <stp>FQ4 2007</stp>
        <stp>FQ4 2007</stp>
        <stp>[FA1_j2ahgkxc.xlsx]Bal Sheet - Standardized!R51C38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tabSelected="1" topLeftCell="A4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0</v>
      </c>
      <c r="B6" s="6" t="s">
        <v>88</v>
      </c>
      <c r="C6" s="16">
        <f>_xll.BDH("AMZN US Equity","SALES_REV_TURN","FQ4 1998","FQ4 1998","Currency=USD","Period=FQ","BEST_FPERIOD_OVERRIDE=FQ","FILING_STATUS=OR","SCALING_FORMAT=MLN","FA_ADJUSTED=Adjusted","Sort=A","Dates=H","DateFormat=P","Fill=—","Direction=H","UseDPDF=Y")</f>
        <v>252.77799999999999</v>
      </c>
      <c r="D6" s="16">
        <f>_xll.BDH("AMZN US Equity","SALES_REV_TURN","FQ1 1999","FQ1 1999","Currency=USD","Period=FQ","BEST_FPERIOD_OVERRIDE=FQ","FILING_STATUS=OR","SCALING_FORMAT=MLN","FA_ADJUSTED=Adjusted","Sort=A","Dates=H","DateFormat=P","Fill=—","Direction=H","UseDPDF=Y")</f>
        <v>293.64299999999997</v>
      </c>
      <c r="E6" s="16">
        <f>_xll.BDH("AMZN US Equity","SALES_REV_TURN","FQ2 1999","FQ2 1999","Currency=USD","Period=FQ","BEST_FPERIOD_OVERRIDE=FQ","FILING_STATUS=OR","SCALING_FORMAT=MLN","FA_ADJUSTED=Adjusted","Sort=A","Dates=H","DateFormat=P","Fill=—","Direction=H","UseDPDF=Y")</f>
        <v>314.37700000000001</v>
      </c>
      <c r="F6" s="16">
        <f>_xll.BDH("AMZN US Equity","SALES_REV_TURN","FQ3 1999","FQ3 1999","Currency=USD","Period=FQ","BEST_FPERIOD_OVERRIDE=FQ","FILING_STATUS=OR","SCALING_FORMAT=MLN","FA_ADJUSTED=Adjusted","Sort=A","Dates=H","DateFormat=P","Fill=—","Direction=H","UseDPDF=Y")</f>
        <v>355.77699999999999</v>
      </c>
      <c r="G6" s="16">
        <f>_xll.BDH("AMZN US Equity","SALES_REV_TURN","FQ4 1999","FQ4 1999","Currency=USD","Period=FQ","BEST_FPERIOD_OVERRIDE=FQ","FILING_STATUS=OR","SCALING_FORMAT=MLN","FA_ADJUSTED=Adjusted","Sort=A","Dates=H","DateFormat=P","Fill=—","Direction=H","UseDPDF=Y")</f>
        <v>676.04200000000003</v>
      </c>
      <c r="H6" s="16">
        <f>_xll.BDH("AMZN US Equity","SALES_REV_TURN","FQ1 2000","FQ1 2000","Currency=USD","Period=FQ","BEST_FPERIOD_OVERRIDE=FQ","FILING_STATUS=OR","SCALING_FORMAT=MLN","FA_ADJUSTED=Adjusted","Sort=A","Dates=H","DateFormat=P","Fill=—","Direction=H","UseDPDF=Y")</f>
        <v>573.88900000000001</v>
      </c>
      <c r="I6" s="16">
        <f>_xll.BDH("AMZN US Equity","SALES_REV_TURN","FQ3 2000","FQ3 2000","Currency=USD","Period=FQ","BEST_FPERIOD_OVERRIDE=FQ","FILING_STATUS=OR","SCALING_FORMAT=MLN","FA_ADJUSTED=Adjusted","Sort=A","Dates=H","DateFormat=P","Fill=—","Direction=H","UseDPDF=Y")</f>
        <v>637.85799999999995</v>
      </c>
      <c r="J6" s="16">
        <f>_xll.BDH("AMZN US Equity","SALES_REV_TURN","FQ4 2000","FQ4 2000","Currency=USD","Period=FQ","BEST_FPERIOD_OVERRIDE=FQ","FILING_STATUS=OR","SCALING_FORMAT=MLN","FA_ADJUSTED=Adjusted","Sort=A","Dates=H","DateFormat=P","Fill=—","Direction=H","UseDPDF=Y")</f>
        <v>972.36</v>
      </c>
      <c r="K6" s="16">
        <f>_xll.BDH("AMZN US Equity","SALES_REV_TURN","FQ1 2001","FQ1 2001","Currency=USD","Period=FQ","BEST_FPERIOD_OVERRIDE=FQ","FILING_STATUS=OR","SCALING_FORMAT=MLN","FA_ADJUSTED=Adjusted","Sort=A","Dates=H","DateFormat=P","Fill=—","Direction=H","UseDPDF=Y")</f>
        <v>700.35599999999999</v>
      </c>
      <c r="L6" s="16">
        <f>_xll.BDH("AMZN US Equity","SALES_REV_TURN","FQ2 2001","FQ2 2001","Currency=USD","Period=FQ","BEST_FPERIOD_OVERRIDE=FQ","FILING_STATUS=OR","SCALING_FORMAT=MLN","FA_ADJUSTED=Adjusted","Sort=A","Dates=H","DateFormat=P","Fill=—","Direction=H","UseDPDF=Y")</f>
        <v>667.625</v>
      </c>
      <c r="M6" s="16">
        <f>_xll.BDH("AMZN US Equity","SALES_REV_TURN","FQ3 2001","FQ3 2001","Currency=USD","Period=FQ","BEST_FPERIOD_OVERRIDE=FQ","FILING_STATUS=OR","SCALING_FORMAT=MLN","FA_ADJUSTED=Adjusted","Sort=A","Dates=H","DateFormat=P","Fill=—","Direction=H","UseDPDF=Y")</f>
        <v>639.28099999999995</v>
      </c>
      <c r="N6" s="16">
        <f>_xll.BDH("AMZN US Equity","SALES_REV_TURN","FQ4 2001","FQ4 2001","Currency=USD","Period=FQ","BEST_FPERIOD_OVERRIDE=FQ","FILING_STATUS=OR","SCALING_FORMAT=MLN","FA_ADJUSTED=Adjusted","Sort=A","Dates=H","DateFormat=P","Fill=—","Direction=H","UseDPDF=Y")</f>
        <v>1115.171</v>
      </c>
      <c r="O6" s="16">
        <f>_xll.BDH("AMZN US Equity","SALES_REV_TURN","FQ1 2002","FQ1 2002","Currency=USD","Period=FQ","BEST_FPERIOD_OVERRIDE=FQ","FILING_STATUS=OR","SCALING_FORMAT=MLN","FA_ADJUSTED=Adjusted","Sort=A","Dates=H","DateFormat=P","Fill=—","Direction=H","UseDPDF=Y")</f>
        <v>847.42200000000003</v>
      </c>
      <c r="P6" s="16">
        <f>_xll.BDH("AMZN US Equity","SALES_REV_TURN","FQ2 2002","FQ2 2002","Currency=USD","Period=FQ","BEST_FPERIOD_OVERRIDE=FQ","FILING_STATUS=OR","SCALING_FORMAT=MLN","FA_ADJUSTED=Adjusted","Sort=A","Dates=H","DateFormat=P","Fill=—","Direction=H","UseDPDF=Y")</f>
        <v>805.60500000000002</v>
      </c>
      <c r="Q6" s="16">
        <f>_xll.BDH("AMZN US Equity","SALES_REV_TURN","FQ3 2002","FQ3 2002","Currency=USD","Period=FQ","BEST_FPERIOD_OVERRIDE=FQ","FILING_STATUS=OR","SCALING_FORMAT=MLN","FA_ADJUSTED=Adjusted","Sort=A","Dates=H","DateFormat=P","Fill=—","Direction=H","UseDPDF=Y")</f>
        <v>851.29899999999998</v>
      </c>
      <c r="R6" s="16">
        <f>_xll.BDH("AMZN US Equity","SALES_REV_TURN","FQ4 2002","FQ4 2002","Currency=USD","Period=FQ","BEST_FPERIOD_OVERRIDE=FQ","FILING_STATUS=OR","SCALING_FORMAT=MLN","FA_ADJUSTED=Adjusted","Sort=A","Dates=H","DateFormat=P","Fill=—","Direction=H","UseDPDF=Y")</f>
        <v>1428.61</v>
      </c>
      <c r="S6" s="16">
        <f>_xll.BDH("AMZN US Equity","SALES_REV_TURN","FQ1 2003","FQ1 2003","Currency=USD","Period=FQ","BEST_FPERIOD_OVERRIDE=FQ","FILING_STATUS=OR","SCALING_FORMAT=MLN","FA_ADJUSTED=Adjusted","Sort=A","Dates=H","DateFormat=P","Fill=—","Direction=H","UseDPDF=Y")</f>
        <v>1083.559</v>
      </c>
      <c r="T6" s="16">
        <f>_xll.BDH("AMZN US Equity","SALES_REV_TURN","FQ2 2003","FQ2 2003","Currency=USD","Period=FQ","BEST_FPERIOD_OVERRIDE=FQ","FILING_STATUS=OR","SCALING_FORMAT=MLN","FA_ADJUSTED=Adjusted","Sort=A","Dates=H","DateFormat=P","Fill=—","Direction=H","UseDPDF=Y")</f>
        <v>1099.912</v>
      </c>
      <c r="U6" s="16">
        <f>_xll.BDH("AMZN US Equity","SALES_REV_TURN","FQ3 2003","FQ3 2003","Currency=USD","Period=FQ","BEST_FPERIOD_OVERRIDE=FQ","FILING_STATUS=OR","SCALING_FORMAT=MLN","FA_ADJUSTED=Adjusted","Sort=A","Dates=H","DateFormat=P","Fill=—","Direction=H","UseDPDF=Y")</f>
        <v>1134.4561000000001</v>
      </c>
      <c r="V6" s="16">
        <f>_xll.BDH("AMZN US Equity","SALES_REV_TURN","FQ4 2003","FQ4 2003","Currency=USD","Period=FQ","BEST_FPERIOD_OVERRIDE=FQ","FILING_STATUS=OR","SCALING_FORMAT=MLN","FA_ADJUSTED=Adjusted","Sort=A","Dates=H","DateFormat=P","Fill=—","Direction=H","UseDPDF=Y")</f>
        <v>1945.7719999999999</v>
      </c>
      <c r="W6" s="16">
        <f>_xll.BDH("AMZN US Equity","SALES_REV_TURN","FQ1 2004","FQ1 2004","Currency=USD","Period=FQ","BEST_FPERIOD_OVERRIDE=FQ","FILING_STATUS=OR","SCALING_FORMAT=MLN","FA_ADJUSTED=Adjusted","Sort=A","Dates=H","DateFormat=P","Fill=—","Direction=H","UseDPDF=Y")</f>
        <v>1530.3489999999999</v>
      </c>
      <c r="X6" s="16">
        <f>_xll.BDH("AMZN US Equity","SALES_REV_TURN","FQ2 2004","FQ2 2004","Currency=USD","Period=FQ","BEST_FPERIOD_OVERRIDE=FQ","FILING_STATUS=OR","SCALING_FORMAT=MLN","FA_ADJUSTED=Adjusted","Sort=A","Dates=H","DateFormat=P","Fill=—","Direction=H","UseDPDF=Y")</f>
        <v>1387.3408999999999</v>
      </c>
      <c r="Y6" s="16">
        <f>_xll.BDH("AMZN US Equity","SALES_REV_TURN","FQ3 2004","FQ3 2004","Currency=USD","Period=FQ","BEST_FPERIOD_OVERRIDE=FQ","FILING_STATUS=OR","SCALING_FORMAT=MLN","FA_ADJUSTED=Adjusted","Sort=A","Dates=H","DateFormat=P","Fill=—","Direction=H","UseDPDF=Y")</f>
        <v>1462.4749999999999</v>
      </c>
      <c r="Z6" s="16">
        <f>_xll.BDH("AMZN US Equity","SALES_REV_TURN","FQ4 2004","FQ4 2004","Currency=USD","Period=FQ","BEST_FPERIOD_OVERRIDE=FQ","FILING_STATUS=OR","SCALING_FORMAT=MLN","FA_ADJUSTED=Adjusted","Sort=A","Dates=H","DateFormat=P","Fill=—","Direction=H","UseDPDF=Y")</f>
        <v>2540.9589999999998</v>
      </c>
      <c r="AA6" s="16">
        <f>_xll.BDH("AMZN US Equity","SALES_REV_TURN","FQ1 2005","FQ1 2005","Currency=USD","Period=FQ","BEST_FPERIOD_OVERRIDE=FQ","FILING_STATUS=OR","SCALING_FORMAT=MLN","FA_ADJUSTED=Adjusted","Sort=A","Dates=H","DateFormat=P","Fill=—","Direction=H","UseDPDF=Y")</f>
        <v>1902</v>
      </c>
      <c r="AB6" s="16">
        <f>_xll.BDH("AMZN US Equity","SALES_REV_TURN","FQ2 2005","FQ2 2005","Currency=USD","Period=FQ","BEST_FPERIOD_OVERRIDE=FQ","FILING_STATUS=OR","SCALING_FORMAT=MLN","FA_ADJUSTED=Adjusted","Sort=A","Dates=H","DateFormat=P","Fill=—","Direction=H","UseDPDF=Y")</f>
        <v>1753</v>
      </c>
      <c r="AC6" s="16">
        <f>_xll.BDH("AMZN US Equity","SALES_REV_TURN","FQ3 2005","FQ3 2005","Currency=USD","Period=FQ","BEST_FPERIOD_OVERRIDE=FQ","FILING_STATUS=OR","SCALING_FORMAT=MLN","FA_ADJUSTED=Adjusted","Sort=A","Dates=H","DateFormat=P","Fill=—","Direction=H","UseDPDF=Y")</f>
        <v>1858</v>
      </c>
      <c r="AD6" s="16">
        <f>_xll.BDH("AMZN US Equity","SALES_REV_TURN","FQ4 2005","FQ4 2005","Currency=USD","Period=FQ","BEST_FPERIOD_OVERRIDE=FQ","FILING_STATUS=OR","SCALING_FORMAT=MLN","FA_ADJUSTED=Adjusted","Sort=A","Dates=H","DateFormat=P","Fill=—","Direction=H","UseDPDF=Y")</f>
        <v>2977</v>
      </c>
      <c r="AE6" s="16">
        <f>_xll.BDH("AMZN US Equity","SALES_REV_TURN","FQ1 2006","FQ1 2006","Currency=USD","Period=FQ","BEST_FPERIOD_OVERRIDE=FQ","FILING_STATUS=OR","SCALING_FORMAT=MLN","FA_ADJUSTED=Adjusted","Sort=A","Dates=H","DateFormat=P","Fill=—","Direction=H","UseDPDF=Y")</f>
        <v>2279</v>
      </c>
      <c r="AF6" s="16">
        <f>_xll.BDH("AMZN US Equity","SALES_REV_TURN","FQ2 2006","FQ2 2006","Currency=USD","Period=FQ","BEST_FPERIOD_OVERRIDE=FQ","FILING_STATUS=OR","SCALING_FORMAT=MLN","FA_ADJUSTED=Adjusted","Sort=A","Dates=H","DateFormat=P","Fill=—","Direction=H","UseDPDF=Y")</f>
        <v>2139</v>
      </c>
      <c r="AG6" s="16">
        <f>_xll.BDH("AMZN US Equity","SALES_REV_TURN","FQ3 2006","FQ3 2006","Currency=USD","Period=FQ","BEST_FPERIOD_OVERRIDE=FQ","FILING_STATUS=OR","SCALING_FORMAT=MLN","FA_ADJUSTED=Adjusted","Sort=A","Dates=H","DateFormat=P","Fill=—","Direction=H","UseDPDF=Y")</f>
        <v>2307</v>
      </c>
      <c r="AH6" s="16">
        <f>_xll.BDH("AMZN US Equity","SALES_REV_TURN","FQ4 2006","FQ4 2006","Currency=USD","Period=FQ","BEST_FPERIOD_OVERRIDE=FQ","FILING_STATUS=OR","SCALING_FORMAT=MLN","FA_ADJUSTED=Adjusted","Sort=A","Dates=H","DateFormat=P","Fill=—","Direction=H","UseDPDF=Y")</f>
        <v>3986</v>
      </c>
      <c r="AI6" s="16">
        <f>_xll.BDH("AMZN US Equity","SALES_REV_TURN","FQ1 2007","FQ1 2007","Currency=USD","Period=FQ","BEST_FPERIOD_OVERRIDE=FQ","FILING_STATUS=OR","SCALING_FORMAT=MLN","FA_ADJUSTED=Adjusted","Sort=A","Dates=H","DateFormat=P","Fill=—","Direction=H","UseDPDF=Y")</f>
        <v>3015</v>
      </c>
      <c r="AJ6" s="16">
        <f>_xll.BDH("AMZN US Equity","SALES_REV_TURN","FQ2 2007","FQ2 2007","Currency=USD","Period=FQ","BEST_FPERIOD_OVERRIDE=FQ","FILING_STATUS=OR","SCALING_FORMAT=MLN","FA_ADJUSTED=Adjusted","Sort=A","Dates=H","DateFormat=P","Fill=—","Direction=H","UseDPDF=Y")</f>
        <v>2886</v>
      </c>
      <c r="AK6" s="16">
        <f>_xll.BDH("AMZN US Equity","SALES_REV_TURN","FQ3 2007","FQ3 2007","Currency=USD","Period=FQ","BEST_FPERIOD_OVERRIDE=FQ","FILING_STATUS=OR","SCALING_FORMAT=MLN","FA_ADJUSTED=Adjusted","Sort=A","Dates=H","DateFormat=P","Fill=—","Direction=H","UseDPDF=Y")</f>
        <v>3262</v>
      </c>
      <c r="AL6" s="16">
        <f>_xll.BDH("AMZN US Equity","SALES_REV_TURN","FQ4 2007","FQ4 2007","Currency=USD","Period=FQ","BEST_FPERIOD_OVERRIDE=FQ","FILING_STATUS=OR","SCALING_FORMAT=MLN","FA_ADJUSTED=Adjusted","Sort=A","Dates=H","DateFormat=P","Fill=—","Direction=H","UseDPDF=Y")</f>
        <v>5673</v>
      </c>
      <c r="AM6" s="16">
        <f>_xll.BDH("AMZN US Equity","SALES_REV_TURN","FQ1 2008","FQ1 2008","Currency=USD","Period=FQ","BEST_FPERIOD_OVERRIDE=FQ","FILING_STATUS=OR","SCALING_FORMAT=MLN","FA_ADJUSTED=Adjusted","Sort=A","Dates=H","DateFormat=P","Fill=—","Direction=H","UseDPDF=Y")</f>
        <v>4135</v>
      </c>
      <c r="AN6" s="16">
        <f>_xll.BDH("AMZN US Equity","SALES_REV_TURN","FQ2 2008","FQ2 2008","Currency=USD","Period=FQ","BEST_FPERIOD_OVERRIDE=FQ","FILING_STATUS=OR","SCALING_FORMAT=MLN","FA_ADJUSTED=Adjusted","Sort=A","Dates=H","DateFormat=P","Fill=—","Direction=H","UseDPDF=Y")</f>
        <v>4063</v>
      </c>
      <c r="AO6" s="16">
        <f>_xll.BDH("AMZN US Equity","SALES_REV_TURN","FQ3 2008","FQ3 2008","Currency=USD","Period=FQ","BEST_FPERIOD_OVERRIDE=FQ","FILING_STATUS=OR","SCALING_FORMAT=MLN","FA_ADJUSTED=Adjusted","Sort=A","Dates=H","DateFormat=P","Fill=—","Direction=H","UseDPDF=Y")</f>
        <v>4264</v>
      </c>
      <c r="AP6" s="16">
        <f>_xll.BDH("AMZN US Equity","SALES_REV_TURN","FQ4 2008","FQ4 2008","Currency=USD","Period=FQ","BEST_FPERIOD_OVERRIDE=FQ","FILING_STATUS=OR","SCALING_FORMAT=MLN","FA_ADJUSTED=Adjusted","Sort=A","Dates=H","DateFormat=P","Fill=—","Direction=H","UseDPDF=Y")</f>
        <v>6704</v>
      </c>
    </row>
    <row r="7" spans="1:42" x14ac:dyDescent="0.25">
      <c r="A7" s="10" t="s">
        <v>89</v>
      </c>
      <c r="B7" s="10" t="s">
        <v>90</v>
      </c>
      <c r="C7" s="13">
        <f>_xll.BDH("AMZN US Equity","IS_COGS_TO_FE_AND_PP_AND_G","FQ4 1998","FQ4 1998","Currency=USD","Period=FQ","BEST_FPERIOD_OVERRIDE=FQ","FILING_STATUS=OR","SCALING_FORMAT=MLN","FA_ADJUSTED=Adjusted","Sort=A","Dates=H","DateFormat=P","Fill=—","Direction=H","UseDPDF=Y")</f>
        <v>199.47499999999999</v>
      </c>
      <c r="D7" s="13">
        <f>_xll.BDH("AMZN US Equity","IS_COGS_TO_FE_AND_PP_AND_G","FQ1 1999","FQ1 1999","Currency=USD","Period=FQ","BEST_FPERIOD_OVERRIDE=FQ","FILING_STATUS=OR","SCALING_FORMAT=MLN","FA_ADJUSTED=Adjusted","Sort=A","Dates=H","DateFormat=P","Fill=—","Direction=H","UseDPDF=Y")</f>
        <v>228.852</v>
      </c>
      <c r="E7" s="13">
        <f>_xll.BDH("AMZN US Equity","IS_COGS_TO_FE_AND_PP_AND_G","FQ2 1999","FQ2 1999","Currency=USD","Period=FQ","BEST_FPERIOD_OVERRIDE=FQ","FILING_STATUS=OR","SCALING_FORMAT=MLN","FA_ADJUSTED=Adjusted","Sort=A","Dates=H","DateFormat=P","Fill=—","Direction=H","UseDPDF=Y")</f>
        <v>246.846</v>
      </c>
      <c r="F7" s="13">
        <f>_xll.BDH("AMZN US Equity","IS_COGS_TO_FE_AND_PP_AND_G","FQ3 1999","FQ3 1999","Currency=USD","Period=FQ","BEST_FPERIOD_OVERRIDE=FQ","FILING_STATUS=OR","SCALING_FORMAT=MLN","FA_ADJUSTED=Adjusted","Sort=A","Dates=H","DateFormat=P","Fill=—","Direction=H","UseDPDF=Y")</f>
        <v>285.3</v>
      </c>
      <c r="G7" s="13">
        <f>_xll.BDH("AMZN US Equity","IS_COGS_TO_FE_AND_PP_AND_G","FQ4 1999","FQ4 1999","Currency=USD","Period=FQ","BEST_FPERIOD_OVERRIDE=FQ","FILING_STATUS=OR","SCALING_FORMAT=MLN","FA_ADJUSTED=Adjusted","Sort=A","Dates=H","DateFormat=P","Fill=—","Direction=H","UseDPDF=Y")</f>
        <v>588.19600000000003</v>
      </c>
      <c r="H7" s="13">
        <f>_xll.BDH("AMZN US Equity","IS_COGS_TO_FE_AND_PP_AND_G","FQ1 2000","FQ1 2000","Currency=USD","Period=FQ","BEST_FPERIOD_OVERRIDE=FQ","FILING_STATUS=OR","SCALING_FORMAT=MLN","FA_ADJUSTED=Adjusted","Sort=A","Dates=H","DateFormat=P","Fill=—","Direction=H","UseDPDF=Y")</f>
        <v>445.755</v>
      </c>
      <c r="I7" s="13">
        <f>_xll.BDH("AMZN US Equity","IS_COGS_TO_FE_AND_PP_AND_G","FQ3 2000","FQ3 2000","Currency=USD","Period=FQ","BEST_FPERIOD_OVERRIDE=FQ","FILING_STATUS=OR","SCALING_FORMAT=MLN","FA_ADJUSTED=Adjusted","Sort=A","Dates=H","DateFormat=P","Fill=—","Direction=H","UseDPDF=Y")</f>
        <v>470.57900000000001</v>
      </c>
      <c r="J7" s="13">
        <f>_xll.BDH("AMZN US Equity","IS_COGS_TO_FE_AND_PP_AND_G","FQ4 2000","FQ4 2000","Currency=USD","Period=FQ","BEST_FPERIOD_OVERRIDE=FQ","FILING_STATUS=OR","SCALING_FORMAT=MLN","FA_ADJUSTED=Adjusted","Sort=A","Dates=H","DateFormat=P","Fill=—","Direction=H","UseDPDF=Y")</f>
        <v>748.06</v>
      </c>
      <c r="K7" s="13">
        <f>_xll.BDH("AMZN US Equity","IS_COGS_TO_FE_AND_PP_AND_G","FQ1 2001","FQ1 2001","Currency=USD","Period=FQ","BEST_FPERIOD_OVERRIDE=FQ","FILING_STATUS=OR","SCALING_FORMAT=MLN","FA_ADJUSTED=Adjusted","Sort=A","Dates=H","DateFormat=P","Fill=—","Direction=H","UseDPDF=Y")</f>
        <v>517.75900000000001</v>
      </c>
      <c r="L7" s="13">
        <f>_xll.BDH("AMZN US Equity","IS_COGS_TO_FE_AND_PP_AND_G","FQ2 2001","FQ2 2001","Currency=USD","Period=FQ","BEST_FPERIOD_OVERRIDE=FQ","FILING_STATUS=OR","SCALING_FORMAT=MLN","FA_ADJUSTED=Adjusted","Sort=A","Dates=H","DateFormat=P","Fill=—","Direction=H","UseDPDF=Y")</f>
        <v>487.90499999999997</v>
      </c>
      <c r="M7" s="13">
        <f>_xll.BDH("AMZN US Equity","IS_COGS_TO_FE_AND_PP_AND_G","FQ3 2001","FQ3 2001","Currency=USD","Period=FQ","BEST_FPERIOD_OVERRIDE=FQ","FILING_STATUS=OR","SCALING_FORMAT=MLN","FA_ADJUSTED=Adjusted","Sort=A","Dates=H","DateFormat=P","Fill=—","Direction=H","UseDPDF=Y")</f>
        <v>477.089</v>
      </c>
      <c r="N7" s="13">
        <f>_xll.BDH("AMZN US Equity","IS_COGS_TO_FE_AND_PP_AND_G","FQ4 2001","FQ4 2001","Currency=USD","Period=FQ","BEST_FPERIOD_OVERRIDE=FQ","FILING_STATUS=OR","SCALING_FORMAT=MLN","FA_ADJUSTED=Adjusted","Sort=A","Dates=H","DateFormat=P","Fill=—","Direction=H","UseDPDF=Y")</f>
        <v>841.12199999999996</v>
      </c>
      <c r="O7" s="13">
        <f>_xll.BDH("AMZN US Equity","IS_COGS_TO_FE_AND_PP_AND_G","FQ1 2002","FQ1 2002","Currency=USD","Period=FQ","BEST_FPERIOD_OVERRIDE=FQ","FILING_STATUS=OR","SCALING_FORMAT=MLN","FA_ADJUSTED=Adjusted","Sort=A","Dates=H","DateFormat=P","Fill=—","Direction=H","UseDPDF=Y")</f>
        <v>624.29700000000003</v>
      </c>
      <c r="P7" s="13">
        <f>_xll.BDH("AMZN US Equity","IS_COGS_TO_FE_AND_PP_AND_G","FQ2 2002","FQ2 2002","Currency=USD","Period=FQ","BEST_FPERIOD_OVERRIDE=FQ","FILING_STATUS=OR","SCALING_FORMAT=MLN","FA_ADJUSTED=Adjusted","Sort=A","Dates=H","DateFormat=P","Fill=—","Direction=H","UseDPDF=Y")</f>
        <v>587.43799999999999</v>
      </c>
      <c r="Q7" s="13">
        <f>_xll.BDH("AMZN US Equity","IS_COGS_TO_FE_AND_PP_AND_G","FQ3 2002","FQ3 2002","Currency=USD","Period=FQ","BEST_FPERIOD_OVERRIDE=FQ","FILING_STATUS=OR","SCALING_FORMAT=MLN","FA_ADJUSTED=Adjusted","Sort=A","Dates=H","DateFormat=P","Fill=—","Direction=H","UseDPDF=Y")</f>
        <v>635.13199999999995</v>
      </c>
      <c r="R7" s="13">
        <f>_xll.BDH("AMZN US Equity","IS_COGS_TO_FE_AND_PP_AND_G","FQ4 2002","FQ4 2002","Currency=USD","Period=FQ","BEST_FPERIOD_OVERRIDE=FQ","FILING_STATUS=OR","SCALING_FORMAT=MLN","FA_ADJUSTED=Adjusted","Sort=A","Dates=H","DateFormat=P","Fill=—","Direction=H","UseDPDF=Y")</f>
        <v>1093.451</v>
      </c>
      <c r="S7" s="13">
        <f>_xll.BDH("AMZN US Equity","IS_COGS_TO_FE_AND_PP_AND_G","FQ1 2003","FQ1 2003","Currency=USD","Period=FQ","BEST_FPERIOD_OVERRIDE=FQ","FILING_STATUS=OR","SCALING_FORMAT=MLN","FA_ADJUSTED=Adjusted","Sort=A","Dates=H","DateFormat=P","Fill=—","Direction=H","UseDPDF=Y")</f>
        <v>812.97699999999998</v>
      </c>
      <c r="T7" s="13">
        <f>_xll.BDH("AMZN US Equity","IS_COGS_TO_FE_AND_PP_AND_G","FQ2 2003","FQ2 2003","Currency=USD","Period=FQ","BEST_FPERIOD_OVERRIDE=FQ","FILING_STATUS=OR","SCALING_FORMAT=MLN","FA_ADJUSTED=Adjusted","Sort=A","Dates=H","DateFormat=P","Fill=—","Direction=H","UseDPDF=Y")</f>
        <v>825.98400000000004</v>
      </c>
      <c r="U7" s="13">
        <f>_xll.BDH("AMZN US Equity","IS_COGS_TO_FE_AND_PP_AND_G","FQ3 2003","FQ3 2003","Currency=USD","Period=FQ","BEST_FPERIOD_OVERRIDE=FQ","FILING_STATUS=OR","SCALING_FORMAT=MLN","FA_ADJUSTED=Adjusted","Sort=A","Dates=H","DateFormat=P","Fill=—","Direction=H","UseDPDF=Y")</f>
        <v>848.63499999999999</v>
      </c>
      <c r="V7" s="13">
        <f>_xll.BDH("AMZN US Equity","IS_COGS_TO_FE_AND_PP_AND_G","FQ4 2003","FQ4 2003","Currency=USD","Period=FQ","BEST_FPERIOD_OVERRIDE=FQ","FILING_STATUS=OR","SCALING_FORMAT=MLN","FA_ADJUSTED=Adjusted","Sort=A","Dates=H","DateFormat=P","Fill=—","Direction=H","UseDPDF=Y")</f>
        <v>1518.9350999999999</v>
      </c>
      <c r="W7" s="13">
        <f>_xll.BDH("AMZN US Equity","IS_COGS_TO_FE_AND_PP_AND_G","FQ1 2004","FQ1 2004","Currency=USD","Period=FQ","BEST_FPERIOD_OVERRIDE=FQ","FILING_STATUS=OR","SCALING_FORMAT=MLN","FA_ADJUSTED=Adjusted","Sort=A","Dates=H","DateFormat=P","Fill=—","Direction=H","UseDPDF=Y")</f>
        <v>1169.5150000000001</v>
      </c>
      <c r="X7" s="13">
        <f>_xll.BDH("AMZN US Equity","IS_COGS_TO_FE_AND_PP_AND_G","FQ2 2004","FQ2 2004","Currency=USD","Period=FQ","BEST_FPERIOD_OVERRIDE=FQ","FILING_STATUS=OR","SCALING_FORMAT=MLN","FA_ADJUSTED=Adjusted","Sort=A","Dates=H","DateFormat=P","Fill=—","Direction=H","UseDPDF=Y")</f>
        <v>1046.2950000000001</v>
      </c>
      <c r="Y7" s="13">
        <f>_xll.BDH("AMZN US Equity","IS_COGS_TO_FE_AND_PP_AND_G","FQ3 2004","FQ3 2004","Currency=USD","Period=FQ","BEST_FPERIOD_OVERRIDE=FQ","FILING_STATUS=OR","SCALING_FORMAT=MLN","FA_ADJUSTED=Adjusted","Sort=A","Dates=H","DateFormat=P","Fill=—","Direction=H","UseDPDF=Y")</f>
        <v>1106.8240000000001</v>
      </c>
      <c r="Z7" s="13">
        <f>_xll.BDH("AMZN US Equity","IS_COGS_TO_FE_AND_PP_AND_G","FQ4 2004","FQ4 2004","Currency=USD","Period=FQ","BEST_FPERIOD_OVERRIDE=FQ","FILING_STATUS=OR","SCALING_FORMAT=MLN","FA_ADJUSTED=Adjusted","Sort=A","Dates=H","DateFormat=P","Fill=—","Direction=H","UseDPDF=Y")</f>
        <v>1996.4929999999999</v>
      </c>
      <c r="AA7" s="13">
        <f>_xll.BDH("AMZN US Equity","IS_COGS_TO_FE_AND_PP_AND_G","FQ1 2005","FQ1 2005","Currency=USD","Period=FQ","BEST_FPERIOD_OVERRIDE=FQ","FILING_STATUS=OR","SCALING_FORMAT=MLN","FA_ADJUSTED=Adjusted","Sort=A","Dates=H","DateFormat=P","Fill=—","Direction=H","UseDPDF=Y")</f>
        <v>1444</v>
      </c>
      <c r="AB7" s="13">
        <f>_xll.BDH("AMZN US Equity","IS_COGS_TO_FE_AND_PP_AND_G","FQ2 2005","FQ2 2005","Currency=USD","Period=FQ","BEST_FPERIOD_OVERRIDE=FQ","FILING_STATUS=OR","SCALING_FORMAT=MLN","FA_ADJUSTED=Adjusted","Sort=A","Dates=H","DateFormat=P","Fill=—","Direction=H","UseDPDF=Y")</f>
        <v>1303</v>
      </c>
      <c r="AC7" s="13">
        <f>_xll.BDH("AMZN US Equity","IS_COGS_TO_FE_AND_PP_AND_G","FQ3 2005","FQ3 2005","Currency=USD","Period=FQ","BEST_FPERIOD_OVERRIDE=FQ","FILING_STATUS=OR","SCALING_FORMAT=MLN","FA_ADJUSTED=Adjusted","Sort=A","Dates=H","DateFormat=P","Fill=—","Direction=H","UseDPDF=Y")</f>
        <v>1395</v>
      </c>
      <c r="AD7" s="13">
        <f>_xll.BDH("AMZN US Equity","IS_COGS_TO_FE_AND_PP_AND_G","FQ4 2005","FQ4 2005","Currency=USD","Period=FQ","BEST_FPERIOD_OVERRIDE=FQ","FILING_STATUS=OR","SCALING_FORMAT=MLN","FA_ADJUSTED=Adjusted","Sort=A","Dates=H","DateFormat=P","Fill=—","Direction=H","UseDPDF=Y")</f>
        <v>2310</v>
      </c>
      <c r="AE7" s="13">
        <f>_xll.BDH("AMZN US Equity","IS_COGS_TO_FE_AND_PP_AND_G","FQ1 2006","FQ1 2006","Currency=USD","Period=FQ","BEST_FPERIOD_OVERRIDE=FQ","FILING_STATUS=OR","SCALING_FORMAT=MLN","FA_ADJUSTED=Adjusted","Sort=A","Dates=H","DateFormat=P","Fill=—","Direction=H","UseDPDF=Y")</f>
        <v>1732</v>
      </c>
      <c r="AF7" s="13">
        <f>_xll.BDH("AMZN US Equity","IS_COGS_TO_FE_AND_PP_AND_G","FQ2 2006","FQ2 2006","Currency=USD","Period=FQ","BEST_FPERIOD_OVERRIDE=FQ","FILING_STATUS=OR","SCALING_FORMAT=MLN","FA_ADJUSTED=Adjusted","Sort=A","Dates=H","DateFormat=P","Fill=—","Direction=H","UseDPDF=Y")</f>
        <v>1630</v>
      </c>
      <c r="AG7" s="13">
        <f>_xll.BDH("AMZN US Equity","IS_COGS_TO_FE_AND_PP_AND_G","FQ3 2006","FQ3 2006","Currency=USD","Period=FQ","BEST_FPERIOD_OVERRIDE=FQ","FILING_STATUS=OR","SCALING_FORMAT=MLN","FA_ADJUSTED=Adjusted","Sort=A","Dates=H","DateFormat=P","Fill=—","Direction=H","UseDPDF=Y")</f>
        <v>1758</v>
      </c>
      <c r="AH7" s="13">
        <f>_xll.BDH("AMZN US Equity","IS_COGS_TO_FE_AND_PP_AND_G","FQ4 2006","FQ4 2006","Currency=USD","Period=FQ","BEST_FPERIOD_OVERRIDE=FQ","FILING_STATUS=OR","SCALING_FORMAT=MLN","FA_ADJUSTED=Adjusted","Sort=A","Dates=H","DateFormat=P","Fill=—","Direction=H","UseDPDF=Y")</f>
        <v>3135</v>
      </c>
      <c r="AI7" s="13">
        <f>_xll.BDH("AMZN US Equity","IS_COGS_TO_FE_AND_PP_AND_G","FQ1 2007","FQ1 2007","Currency=USD","Period=FQ","BEST_FPERIOD_OVERRIDE=FQ","FILING_STATUS=OR","SCALING_FORMAT=MLN","FA_ADJUSTED=Adjusted","Sort=A","Dates=H","DateFormat=P","Fill=—","Direction=H","UseDPDF=Y")</f>
        <v>2296</v>
      </c>
      <c r="AJ7" s="13">
        <f>_xll.BDH("AMZN US Equity","IS_COGS_TO_FE_AND_PP_AND_G","FQ2 2007","FQ2 2007","Currency=USD","Period=FQ","BEST_FPERIOD_OVERRIDE=FQ","FILING_STATUS=OR","SCALING_FORMAT=MLN","FA_ADJUSTED=Adjusted","Sort=A","Dates=H","DateFormat=P","Fill=—","Direction=H","UseDPDF=Y")</f>
        <v>2185</v>
      </c>
      <c r="AK7" s="13">
        <f>_xll.BDH("AMZN US Equity","IS_COGS_TO_FE_AND_PP_AND_G","FQ3 2007","FQ3 2007","Currency=USD","Period=FQ","BEST_FPERIOD_OVERRIDE=FQ","FILING_STATUS=OR","SCALING_FORMAT=MLN","FA_ADJUSTED=Adjusted","Sort=A","Dates=H","DateFormat=P","Fill=—","Direction=H","UseDPDF=Y")</f>
        <v>2500</v>
      </c>
      <c r="AL7" s="13">
        <f>_xll.BDH("AMZN US Equity","IS_COGS_TO_FE_AND_PP_AND_G","FQ4 2007","FQ4 2007","Currency=USD","Period=FQ","BEST_FPERIOD_OVERRIDE=FQ","FILING_STATUS=OR","SCALING_FORMAT=MLN","FA_ADJUSTED=Adjusted","Sort=A","Dates=H","DateFormat=P","Fill=—","Direction=H","UseDPDF=Y")</f>
        <v>4503</v>
      </c>
      <c r="AM7" s="13">
        <f>_xll.BDH("AMZN US Equity","IS_COGS_TO_FE_AND_PP_AND_G","FQ1 2008","FQ1 2008","Currency=USD","Period=FQ","BEST_FPERIOD_OVERRIDE=FQ","FILING_STATUS=OR","SCALING_FORMAT=MLN","FA_ADJUSTED=Adjusted","Sort=A","Dates=H","DateFormat=P","Fill=—","Direction=H","UseDPDF=Y")</f>
        <v>3179</v>
      </c>
      <c r="AN7" s="13">
        <f>_xll.BDH("AMZN US Equity","IS_COGS_TO_FE_AND_PP_AND_G","FQ2 2008","FQ2 2008","Currency=USD","Period=FQ","BEST_FPERIOD_OVERRIDE=FQ","FILING_STATUS=OR","SCALING_FORMAT=MLN","FA_ADJUSTED=Adjusted","Sort=A","Dates=H","DateFormat=P","Fill=—","Direction=H","UseDPDF=Y")</f>
        <v>3096</v>
      </c>
      <c r="AO7" s="13">
        <f>_xll.BDH("AMZN US Equity","IS_COGS_TO_FE_AND_PP_AND_G","FQ3 2008","FQ3 2008","Currency=USD","Period=FQ","BEST_FPERIOD_OVERRIDE=FQ","FILING_STATUS=OR","SCALING_FORMAT=MLN","FA_ADJUSTED=Adjusted","Sort=A","Dates=H","DateFormat=P","Fill=—","Direction=H","UseDPDF=Y")</f>
        <v>3265</v>
      </c>
      <c r="AP7" s="13">
        <f>_xll.BDH("AMZN US Equity","IS_COGS_TO_FE_AND_PP_AND_G","FQ4 2008","FQ4 2008","Currency=USD","Period=FQ","BEST_FPERIOD_OVERRIDE=FQ","FILING_STATUS=OR","SCALING_FORMAT=MLN","FA_ADJUSTED=Adjusted","Sort=A","Dates=H","DateFormat=P","Fill=—","Direction=H","UseDPDF=Y")</f>
        <v>5356</v>
      </c>
    </row>
    <row r="8" spans="1:42" x14ac:dyDescent="0.25">
      <c r="A8" s="6" t="s">
        <v>1</v>
      </c>
      <c r="B8" s="6" t="s">
        <v>91</v>
      </c>
      <c r="C8" s="16">
        <f>_xll.BDH("AMZN US Equity","GROSS_PROFIT","FQ4 1998","FQ4 1998","Currency=USD","Period=FQ","BEST_FPERIOD_OVERRIDE=FQ","FILING_STATUS=OR","SCALING_FORMAT=MLN","FA_ADJUSTED=Adjusted","Sort=A","Dates=H","DateFormat=P","Fill=—","Direction=H","UseDPDF=Y")</f>
        <v>53.302999999999997</v>
      </c>
      <c r="D8" s="16">
        <f>_xll.BDH("AMZN US Equity","GROSS_PROFIT","FQ1 1999","FQ1 1999","Currency=USD","Period=FQ","BEST_FPERIOD_OVERRIDE=FQ","FILING_STATUS=OR","SCALING_FORMAT=MLN","FA_ADJUSTED=Adjusted","Sort=A","Dates=H","DateFormat=P","Fill=—","Direction=H","UseDPDF=Y")</f>
        <v>64.790999999999997</v>
      </c>
      <c r="E8" s="16">
        <f>_xll.BDH("AMZN US Equity","GROSS_PROFIT","FQ2 1999","FQ2 1999","Currency=USD","Period=FQ","BEST_FPERIOD_OVERRIDE=FQ","FILING_STATUS=OR","SCALING_FORMAT=MLN","FA_ADJUSTED=Adjusted","Sort=A","Dates=H","DateFormat=P","Fill=—","Direction=H","UseDPDF=Y")</f>
        <v>67.531000000000006</v>
      </c>
      <c r="F8" s="16">
        <f>_xll.BDH("AMZN US Equity","GROSS_PROFIT","FQ3 1999","FQ3 1999","Currency=USD","Period=FQ","BEST_FPERIOD_OVERRIDE=FQ","FILING_STATUS=OR","SCALING_FORMAT=MLN","FA_ADJUSTED=Adjusted","Sort=A","Dates=H","DateFormat=P","Fill=—","Direction=H","UseDPDF=Y")</f>
        <v>70.477000000000004</v>
      </c>
      <c r="G8" s="16">
        <f>_xll.BDH("AMZN US Equity","GROSS_PROFIT","FQ4 1999","FQ4 1999","Currency=USD","Period=FQ","BEST_FPERIOD_OVERRIDE=FQ","FILING_STATUS=OR","SCALING_FORMAT=MLN","FA_ADJUSTED=Adjusted","Sort=A","Dates=H","DateFormat=P","Fill=—","Direction=H","UseDPDF=Y")</f>
        <v>87.846000000000004</v>
      </c>
      <c r="H8" s="16">
        <f>_xll.BDH("AMZN US Equity","GROSS_PROFIT","FQ1 2000","FQ1 2000","Currency=USD","Period=FQ","BEST_FPERIOD_OVERRIDE=FQ","FILING_STATUS=OR","SCALING_FORMAT=MLN","FA_ADJUSTED=Adjusted","Sort=A","Dates=H","DateFormat=P","Fill=—","Direction=H","UseDPDF=Y")</f>
        <v>128.13399999999999</v>
      </c>
      <c r="I8" s="16">
        <f>_xll.BDH("AMZN US Equity","GROSS_PROFIT","FQ3 2000","FQ3 2000","Currency=USD","Period=FQ","BEST_FPERIOD_OVERRIDE=FQ","FILING_STATUS=OR","SCALING_FORMAT=MLN","FA_ADJUSTED=Adjusted","Sort=A","Dates=H","DateFormat=P","Fill=—","Direction=H","UseDPDF=Y")</f>
        <v>167.279</v>
      </c>
      <c r="J8" s="16">
        <f>_xll.BDH("AMZN US Equity","GROSS_PROFIT","FQ4 2000","FQ4 2000","Currency=USD","Period=FQ","BEST_FPERIOD_OVERRIDE=FQ","FILING_STATUS=OR","SCALING_FORMAT=MLN","FA_ADJUSTED=Adjusted","Sort=A","Dates=H","DateFormat=P","Fill=—","Direction=H","UseDPDF=Y")</f>
        <v>224.3</v>
      </c>
      <c r="K8" s="16">
        <f>_xll.BDH("AMZN US Equity","GROSS_PROFIT","FQ1 2001","FQ1 2001","Currency=USD","Period=FQ","BEST_FPERIOD_OVERRIDE=FQ","FILING_STATUS=OR","SCALING_FORMAT=MLN","FA_ADJUSTED=Adjusted","Sort=A","Dates=H","DateFormat=P","Fill=—","Direction=H","UseDPDF=Y")</f>
        <v>182.59700000000001</v>
      </c>
      <c r="L8" s="16">
        <f>_xll.BDH("AMZN US Equity","GROSS_PROFIT","FQ2 2001","FQ2 2001","Currency=USD","Period=FQ","BEST_FPERIOD_OVERRIDE=FQ","FILING_STATUS=OR","SCALING_FORMAT=MLN","FA_ADJUSTED=Adjusted","Sort=A","Dates=H","DateFormat=P","Fill=—","Direction=H","UseDPDF=Y")</f>
        <v>179.72</v>
      </c>
      <c r="M8" s="16">
        <f>_xll.BDH("AMZN US Equity","GROSS_PROFIT","FQ3 2001","FQ3 2001","Currency=USD","Period=FQ","BEST_FPERIOD_OVERRIDE=FQ","FILING_STATUS=OR","SCALING_FORMAT=MLN","FA_ADJUSTED=Adjusted","Sort=A","Dates=H","DateFormat=P","Fill=—","Direction=H","UseDPDF=Y")</f>
        <v>162.19200000000001</v>
      </c>
      <c r="N8" s="16">
        <f>_xll.BDH("AMZN US Equity","GROSS_PROFIT","FQ4 2001","FQ4 2001","Currency=USD","Period=FQ","BEST_FPERIOD_OVERRIDE=FQ","FILING_STATUS=OR","SCALING_FORMAT=MLN","FA_ADJUSTED=Adjusted","Sort=A","Dates=H","DateFormat=P","Fill=—","Direction=H","UseDPDF=Y")</f>
        <v>274.04899999999998</v>
      </c>
      <c r="O8" s="16">
        <f>_xll.BDH("AMZN US Equity","GROSS_PROFIT","FQ1 2002","FQ1 2002","Currency=USD","Period=FQ","BEST_FPERIOD_OVERRIDE=FQ","FILING_STATUS=OR","SCALING_FORMAT=MLN","FA_ADJUSTED=Adjusted","Sort=A","Dates=H","DateFormat=P","Fill=—","Direction=H","UseDPDF=Y")</f>
        <v>223.125</v>
      </c>
      <c r="P8" s="16">
        <f>_xll.BDH("AMZN US Equity","GROSS_PROFIT","FQ2 2002","FQ2 2002","Currency=USD","Period=FQ","BEST_FPERIOD_OVERRIDE=FQ","FILING_STATUS=OR","SCALING_FORMAT=MLN","FA_ADJUSTED=Adjusted","Sort=A","Dates=H","DateFormat=P","Fill=—","Direction=H","UseDPDF=Y")</f>
        <v>218.167</v>
      </c>
      <c r="Q8" s="16">
        <f>_xll.BDH("AMZN US Equity","GROSS_PROFIT","FQ3 2002","FQ3 2002","Currency=USD","Period=FQ","BEST_FPERIOD_OVERRIDE=FQ","FILING_STATUS=OR","SCALING_FORMAT=MLN","FA_ADJUSTED=Adjusted","Sort=A","Dates=H","DateFormat=P","Fill=—","Direction=H","UseDPDF=Y")</f>
        <v>216.167</v>
      </c>
      <c r="R8" s="16">
        <f>_xll.BDH("AMZN US Equity","GROSS_PROFIT","FQ4 2002","FQ4 2002","Currency=USD","Period=FQ","BEST_FPERIOD_OVERRIDE=FQ","FILING_STATUS=OR","SCALING_FORMAT=MLN","FA_ADJUSTED=Adjusted","Sort=A","Dates=H","DateFormat=P","Fill=—","Direction=H","UseDPDF=Y")</f>
        <v>335.15890000000002</v>
      </c>
      <c r="S8" s="16">
        <f>_xll.BDH("AMZN US Equity","GROSS_PROFIT","FQ1 2003","FQ1 2003","Currency=USD","Period=FQ","BEST_FPERIOD_OVERRIDE=FQ","FILING_STATUS=OR","SCALING_FORMAT=MLN","FA_ADJUSTED=Adjusted","Sort=A","Dates=H","DateFormat=P","Fill=—","Direction=H","UseDPDF=Y")</f>
        <v>270.58199999999999</v>
      </c>
      <c r="T8" s="16">
        <f>_xll.BDH("AMZN US Equity","GROSS_PROFIT","FQ2 2003","FQ2 2003","Currency=USD","Period=FQ","BEST_FPERIOD_OVERRIDE=FQ","FILING_STATUS=OR","SCALING_FORMAT=MLN","FA_ADJUSTED=Adjusted","Sort=A","Dates=H","DateFormat=P","Fill=—","Direction=H","UseDPDF=Y")</f>
        <v>273.928</v>
      </c>
      <c r="U8" s="16">
        <f>_xll.BDH("AMZN US Equity","GROSS_PROFIT","FQ3 2003","FQ3 2003","Currency=USD","Period=FQ","BEST_FPERIOD_OVERRIDE=FQ","FILING_STATUS=OR","SCALING_FORMAT=MLN","FA_ADJUSTED=Adjusted","Sort=A","Dates=H","DateFormat=P","Fill=—","Direction=H","UseDPDF=Y")</f>
        <v>285.82100000000003</v>
      </c>
      <c r="V8" s="16">
        <f>_xll.BDH("AMZN US Equity","GROSS_PROFIT","FQ4 2003","FQ4 2003","Currency=USD","Period=FQ","BEST_FPERIOD_OVERRIDE=FQ","FILING_STATUS=OR","SCALING_FORMAT=MLN","FA_ADJUSTED=Adjusted","Sort=A","Dates=H","DateFormat=P","Fill=—","Direction=H","UseDPDF=Y")</f>
        <v>426.83690000000001</v>
      </c>
      <c r="W8" s="16">
        <f>_xll.BDH("AMZN US Equity","GROSS_PROFIT","FQ1 2004","FQ1 2004","Currency=USD","Period=FQ","BEST_FPERIOD_OVERRIDE=FQ","FILING_STATUS=OR","SCALING_FORMAT=MLN","FA_ADJUSTED=Adjusted","Sort=A","Dates=H","DateFormat=P","Fill=—","Direction=H","UseDPDF=Y")</f>
        <v>360.834</v>
      </c>
      <c r="X8" s="16">
        <f>_xll.BDH("AMZN US Equity","GROSS_PROFIT","FQ2 2004","FQ2 2004","Currency=USD","Period=FQ","BEST_FPERIOD_OVERRIDE=FQ","FILING_STATUS=OR","SCALING_FORMAT=MLN","FA_ADJUSTED=Adjusted","Sort=A","Dates=H","DateFormat=P","Fill=—","Direction=H","UseDPDF=Y")</f>
        <v>341.04590000000002</v>
      </c>
      <c r="Y8" s="16">
        <f>_xll.BDH("AMZN US Equity","GROSS_PROFIT","FQ3 2004","FQ3 2004","Currency=USD","Period=FQ","BEST_FPERIOD_OVERRIDE=FQ","FILING_STATUS=OR","SCALING_FORMAT=MLN","FA_ADJUSTED=Adjusted","Sort=A","Dates=H","DateFormat=P","Fill=—","Direction=H","UseDPDF=Y")</f>
        <v>355.65100000000001</v>
      </c>
      <c r="Z8" s="16">
        <f>_xll.BDH("AMZN US Equity","GROSS_PROFIT","FQ4 2004","FQ4 2004","Currency=USD","Period=FQ","BEST_FPERIOD_OVERRIDE=FQ","FILING_STATUS=OR","SCALING_FORMAT=MLN","FA_ADJUSTED=Adjusted","Sort=A","Dates=H","DateFormat=P","Fill=—","Direction=H","UseDPDF=Y")</f>
        <v>544.46590000000003</v>
      </c>
      <c r="AA8" s="16">
        <f>_xll.BDH("AMZN US Equity","GROSS_PROFIT","FQ1 2005","FQ1 2005","Currency=USD","Period=FQ","BEST_FPERIOD_OVERRIDE=FQ","FILING_STATUS=OR","SCALING_FORMAT=MLN","FA_ADJUSTED=Adjusted","Sort=A","Dates=H","DateFormat=P","Fill=—","Direction=H","UseDPDF=Y")</f>
        <v>458</v>
      </c>
      <c r="AB8" s="16">
        <f>_xll.BDH("AMZN US Equity","GROSS_PROFIT","FQ2 2005","FQ2 2005","Currency=USD","Period=FQ","BEST_FPERIOD_OVERRIDE=FQ","FILING_STATUS=OR","SCALING_FORMAT=MLN","FA_ADJUSTED=Adjusted","Sort=A","Dates=H","DateFormat=P","Fill=—","Direction=H","UseDPDF=Y")</f>
        <v>450</v>
      </c>
      <c r="AC8" s="16">
        <f>_xll.BDH("AMZN US Equity","GROSS_PROFIT","FQ3 2005","FQ3 2005","Currency=USD","Period=FQ","BEST_FPERIOD_OVERRIDE=FQ","FILING_STATUS=OR","SCALING_FORMAT=MLN","FA_ADJUSTED=Adjusted","Sort=A","Dates=H","DateFormat=P","Fill=—","Direction=H","UseDPDF=Y")</f>
        <v>463</v>
      </c>
      <c r="AD8" s="16">
        <f>_xll.BDH("AMZN US Equity","GROSS_PROFIT","FQ4 2005","FQ4 2005","Currency=USD","Period=FQ","BEST_FPERIOD_OVERRIDE=FQ","FILING_STATUS=OR","SCALING_FORMAT=MLN","FA_ADJUSTED=Adjusted","Sort=A","Dates=H","DateFormat=P","Fill=—","Direction=H","UseDPDF=Y")</f>
        <v>667</v>
      </c>
      <c r="AE8" s="16">
        <f>_xll.BDH("AMZN US Equity","GROSS_PROFIT","FQ1 2006","FQ1 2006","Currency=USD","Period=FQ","BEST_FPERIOD_OVERRIDE=FQ","FILING_STATUS=OR","SCALING_FORMAT=MLN","FA_ADJUSTED=Adjusted","Sort=A","Dates=H","DateFormat=P","Fill=—","Direction=H","UseDPDF=Y")</f>
        <v>547</v>
      </c>
      <c r="AF8" s="16">
        <f>_xll.BDH("AMZN US Equity","GROSS_PROFIT","FQ2 2006","FQ2 2006","Currency=USD","Period=FQ","BEST_FPERIOD_OVERRIDE=FQ","FILING_STATUS=OR","SCALING_FORMAT=MLN","FA_ADJUSTED=Adjusted","Sort=A","Dates=H","DateFormat=P","Fill=—","Direction=H","UseDPDF=Y")</f>
        <v>509</v>
      </c>
      <c r="AG8" s="16">
        <f>_xll.BDH("AMZN US Equity","GROSS_PROFIT","FQ3 2006","FQ3 2006","Currency=USD","Period=FQ","BEST_FPERIOD_OVERRIDE=FQ","FILING_STATUS=OR","SCALING_FORMAT=MLN","FA_ADJUSTED=Adjusted","Sort=A","Dates=H","DateFormat=P","Fill=—","Direction=H","UseDPDF=Y")</f>
        <v>549</v>
      </c>
      <c r="AH8" s="16">
        <f>_xll.BDH("AMZN US Equity","GROSS_PROFIT","FQ4 2006","FQ4 2006","Currency=USD","Period=FQ","BEST_FPERIOD_OVERRIDE=FQ","FILING_STATUS=OR","SCALING_FORMAT=MLN","FA_ADJUSTED=Adjusted","Sort=A","Dates=H","DateFormat=P","Fill=—","Direction=H","UseDPDF=Y")</f>
        <v>851</v>
      </c>
      <c r="AI8" s="16">
        <f>_xll.BDH("AMZN US Equity","GROSS_PROFIT","FQ1 2007","FQ1 2007","Currency=USD","Period=FQ","BEST_FPERIOD_OVERRIDE=FQ","FILING_STATUS=OR","SCALING_FORMAT=MLN","FA_ADJUSTED=Adjusted","Sort=A","Dates=H","DateFormat=P","Fill=—","Direction=H","UseDPDF=Y")</f>
        <v>719</v>
      </c>
      <c r="AJ8" s="16">
        <f>_xll.BDH("AMZN US Equity","GROSS_PROFIT","FQ2 2007","FQ2 2007","Currency=USD","Period=FQ","BEST_FPERIOD_OVERRIDE=FQ","FILING_STATUS=OR","SCALING_FORMAT=MLN","FA_ADJUSTED=Adjusted","Sort=A","Dates=H","DateFormat=P","Fill=—","Direction=H","UseDPDF=Y")</f>
        <v>701</v>
      </c>
      <c r="AK8" s="16">
        <f>_xll.BDH("AMZN US Equity","GROSS_PROFIT","FQ3 2007","FQ3 2007","Currency=USD","Period=FQ","BEST_FPERIOD_OVERRIDE=FQ","FILING_STATUS=OR","SCALING_FORMAT=MLN","FA_ADJUSTED=Adjusted","Sort=A","Dates=H","DateFormat=P","Fill=—","Direction=H","UseDPDF=Y")</f>
        <v>762</v>
      </c>
      <c r="AL8" s="16">
        <f>_xll.BDH("AMZN US Equity","GROSS_PROFIT","FQ4 2007","FQ4 2007","Currency=USD","Period=FQ","BEST_FPERIOD_OVERRIDE=FQ","FILING_STATUS=OR","SCALING_FORMAT=MLN","FA_ADJUSTED=Adjusted","Sort=A","Dates=H","DateFormat=P","Fill=—","Direction=H","UseDPDF=Y")</f>
        <v>1170</v>
      </c>
      <c r="AM8" s="16">
        <f>_xll.BDH("AMZN US Equity","GROSS_PROFIT","FQ1 2008","FQ1 2008","Currency=USD","Period=FQ","BEST_FPERIOD_OVERRIDE=FQ","FILING_STATUS=OR","SCALING_FORMAT=MLN","FA_ADJUSTED=Adjusted","Sort=A","Dates=H","DateFormat=P","Fill=—","Direction=H","UseDPDF=Y")</f>
        <v>956</v>
      </c>
      <c r="AN8" s="16">
        <f>_xll.BDH("AMZN US Equity","GROSS_PROFIT","FQ2 2008","FQ2 2008","Currency=USD","Period=FQ","BEST_FPERIOD_OVERRIDE=FQ","FILING_STATUS=OR","SCALING_FORMAT=MLN","FA_ADJUSTED=Adjusted","Sort=A","Dates=H","DateFormat=P","Fill=—","Direction=H","UseDPDF=Y")</f>
        <v>967</v>
      </c>
      <c r="AO8" s="16">
        <f>_xll.BDH("AMZN US Equity","GROSS_PROFIT","FQ3 2008","FQ3 2008","Currency=USD","Period=FQ","BEST_FPERIOD_OVERRIDE=FQ","FILING_STATUS=OR","SCALING_FORMAT=MLN","FA_ADJUSTED=Adjusted","Sort=A","Dates=H","DateFormat=P","Fill=—","Direction=H","UseDPDF=Y")</f>
        <v>999</v>
      </c>
      <c r="AP8" s="16">
        <f>_xll.BDH("AMZN US Equity","GROSS_PROFIT","FQ4 2008","FQ4 2008","Currency=USD","Period=FQ","BEST_FPERIOD_OVERRIDE=FQ","FILING_STATUS=OR","SCALING_FORMAT=MLN","FA_ADJUSTED=Adjusted","Sort=A","Dates=H","DateFormat=P","Fill=—","Direction=H","UseDPDF=Y")</f>
        <v>1348</v>
      </c>
    </row>
    <row r="9" spans="1:42" x14ac:dyDescent="0.25">
      <c r="A9" s="10" t="s">
        <v>92</v>
      </c>
      <c r="B9" s="10" t="s">
        <v>93</v>
      </c>
      <c r="C9" s="13">
        <f>_xll.BDH("AMZN US Equity","IS_OPERATING_EXPN","FQ4 1998","FQ4 1998","Currency=USD","Period=FQ","BEST_FPERIOD_OVERRIDE=FQ","FILING_STATUS=OR","SCALING_FORMAT=MLN","FA_ADJUSTED=Adjusted","Sort=A","Dates=H","DateFormat=P","Fill=—","Direction=H","UseDPDF=Y")</f>
        <v>71.299000000000007</v>
      </c>
      <c r="D9" s="13">
        <f>_xll.BDH("AMZN US Equity","IS_OPERATING_EXPN","FQ1 1999","FQ1 1999","Currency=USD","Period=FQ","BEST_FPERIOD_OVERRIDE=FQ","FILING_STATUS=OR","SCALING_FORMAT=MLN","FA_ADJUSTED=Adjusted","Sort=A","Dates=H","DateFormat=P","Fill=—","Direction=H","UseDPDF=Y")</f>
        <v>116.37</v>
      </c>
      <c r="E9" s="13">
        <f>_xll.BDH("AMZN US Equity","IS_OPERATING_EXPN","FQ2 1999","FQ2 1999","Currency=USD","Period=FQ","BEST_FPERIOD_OVERRIDE=FQ","FILING_STATUS=OR","SCALING_FORMAT=MLN","FA_ADJUSTED=Adjusted","Sort=A","Dates=H","DateFormat=P","Fill=—","Direction=H","UseDPDF=Y")</f>
        <v>176.602</v>
      </c>
      <c r="F9" s="13">
        <f>_xll.BDH("AMZN US Equity","IS_OPERATING_EXPN","FQ3 1999","FQ3 1999","Currency=USD","Period=FQ","BEST_FPERIOD_OVERRIDE=FQ","FILING_STATUS=OR","SCALING_FORMAT=MLN","FA_ADJUSTED=Adjusted","Sort=A","Dates=H","DateFormat=P","Fill=—","Direction=H","UseDPDF=Y")</f>
        <v>235.80699999999999</v>
      </c>
      <c r="G9" s="13">
        <f>_xll.BDH("AMZN US Equity","IS_OPERATING_EXPN","FQ4 1999","FQ4 1999","Currency=USD","Period=FQ","BEST_FPERIOD_OVERRIDE=FQ","FILING_STATUS=OR","SCALING_FORMAT=MLN","FA_ADJUSTED=Adjusted","Sort=A","Dates=H","DateFormat=P","Fill=—","Direction=H","UseDPDF=Y")</f>
        <v>170.02600000000001</v>
      </c>
      <c r="H9" s="13">
        <f>_xll.BDH("AMZN US Equity","IS_OPERATING_EXPN","FQ1 2000","FQ1 2000","Currency=USD","Period=FQ","BEST_FPERIOD_OVERRIDE=FQ","FILING_STATUS=OR","SCALING_FORMAT=MLN","FA_ADJUSTED=Adjusted","Sort=A","Dates=H","DateFormat=P","Fill=—","Direction=H","UseDPDF=Y")</f>
        <v>324.00700000000001</v>
      </c>
      <c r="I9" s="13">
        <f>_xll.BDH("AMZN US Equity","IS_OPERATING_EXPN","FQ3 2000","FQ3 2000","Currency=USD","Period=FQ","BEST_FPERIOD_OVERRIDE=FQ","FILING_STATUS=OR","SCALING_FORMAT=MLN","FA_ADJUSTED=Adjusted","Sort=A","Dates=H","DateFormat=P","Fill=—","Direction=H","UseDPDF=Y")</f>
        <v>319.00299999999999</v>
      </c>
      <c r="J9" s="13">
        <f>_xll.BDH("AMZN US Equity","IS_OPERATING_EXPN","FQ4 2000","FQ4 2000","Currency=USD","Period=FQ","BEST_FPERIOD_OVERRIDE=FQ","FILING_STATUS=OR","SCALING_FORMAT=MLN","FA_ADJUSTED=Adjusted","Sort=A","Dates=H","DateFormat=P","Fill=—","Direction=H","UseDPDF=Y")</f>
        <v>362.34399999999999</v>
      </c>
      <c r="K9" s="13">
        <f>_xll.BDH("AMZN US Equity","IS_OPERATING_EXPN","FQ1 2001","FQ1 2001","Currency=USD","Period=FQ","BEST_FPERIOD_OVERRIDE=FQ","FILING_STATUS=OR","SCALING_FORMAT=MLN","FA_ADJUSTED=Adjusted","Sort=A","Dates=H","DateFormat=P","Fill=—","Direction=H","UseDPDF=Y")</f>
        <v>284.94499999999999</v>
      </c>
      <c r="L9" s="13">
        <f>_xll.BDH("AMZN US Equity","IS_OPERATING_EXPN","FQ2 2001","FQ2 2001","Currency=USD","Period=FQ","BEST_FPERIOD_OVERRIDE=FQ","FILING_STATUS=OR","SCALING_FORMAT=MLN","FA_ADJUSTED=Adjusted","Sort=A","Dates=H","DateFormat=P","Fill=—","Direction=H","UseDPDF=Y")</f>
        <v>260.91000000000003</v>
      </c>
      <c r="M9" s="13">
        <f>_xll.BDH("AMZN US Equity","IS_OPERATING_EXPN","FQ3 2001","FQ3 2001","Currency=USD","Period=FQ","BEST_FPERIOD_OVERRIDE=FQ","FILING_STATUS=OR","SCALING_FORMAT=MLN","FA_ADJUSTED=Adjusted","Sort=A","Dates=H","DateFormat=P","Fill=—","Direction=H","UseDPDF=Y")</f>
        <v>228.53200000000001</v>
      </c>
      <c r="N9" s="13">
        <f>_xll.BDH("AMZN US Equity","IS_OPERATING_EXPN","FQ4 2001","FQ4 2001","Currency=USD","Period=FQ","BEST_FPERIOD_OVERRIDE=FQ","FILING_STATUS=OR","SCALING_FORMAT=MLN","FA_ADJUSTED=Adjusted","Sort=A","Dates=H","DateFormat=P","Fill=—","Direction=H","UseDPDF=Y")</f>
        <v>252.27600000000001</v>
      </c>
      <c r="O9" s="13">
        <f>_xll.BDH("AMZN US Equity","IS_OPERATING_EXPN","FQ1 2002","FQ1 2002","Currency=USD","Period=FQ","BEST_FPERIOD_OVERRIDE=FQ","FILING_STATUS=OR","SCALING_FORMAT=MLN","FA_ADJUSTED=Adjusted","Sort=A","Dates=H","DateFormat=P","Fill=—","Direction=H","UseDPDF=Y")</f>
        <v>211.37700000000001</v>
      </c>
      <c r="P9" s="13">
        <f>_xll.BDH("AMZN US Equity","IS_OPERATING_EXPN","FQ2 2002","FQ2 2002","Currency=USD","Period=FQ","BEST_FPERIOD_OVERRIDE=FQ","FILING_STATUS=OR","SCALING_FORMAT=MLN","FA_ADJUSTED=Adjusted","Sort=A","Dates=H","DateFormat=P","Fill=—","Direction=H","UseDPDF=Y")</f>
        <v>216.69499999999999</v>
      </c>
      <c r="Q9" s="13">
        <f>_xll.BDH("AMZN US Equity","IS_OPERATING_EXPN","FQ3 2002","FQ3 2002","Currency=USD","Period=FQ","BEST_FPERIOD_OVERRIDE=FQ","FILING_STATUS=OR","SCALING_FORMAT=MLN","FA_ADJUSTED=Adjusted","Sort=A","Dates=H","DateFormat=P","Fill=—","Direction=H","UseDPDF=Y")</f>
        <v>189.05500000000001</v>
      </c>
      <c r="R9" s="13">
        <f>_xll.BDH("AMZN US Equity","IS_OPERATING_EXPN","FQ4 2002","FQ4 2002","Currency=USD","Period=FQ","BEST_FPERIOD_OVERRIDE=FQ","FILING_STATUS=OR","SCALING_FORMAT=MLN","FA_ADJUSTED=Adjusted","Sort=A","Dates=H","DateFormat=P","Fill=—","Direction=H","UseDPDF=Y")</f>
        <v>269.79399999999998</v>
      </c>
      <c r="S9" s="13">
        <f>_xll.BDH("AMZN US Equity","IS_OPERATING_EXPN","FQ1 2003","FQ1 2003","Currency=USD","Period=FQ","BEST_FPERIOD_OVERRIDE=FQ","FILING_STATUS=OR","SCALING_FORMAT=MLN","FA_ADJUSTED=Adjusted","Sort=A","Dates=H","DateFormat=P","Fill=—","Direction=H","UseDPDF=Y")</f>
        <v>231.357</v>
      </c>
      <c r="T9" s="13">
        <f>_xll.BDH("AMZN US Equity","IS_OPERATING_EXPN","FQ2 2003","FQ2 2003","Currency=USD","Period=FQ","BEST_FPERIOD_OVERRIDE=FQ","FILING_STATUS=OR","SCALING_FORMAT=MLN","FA_ADJUSTED=Adjusted","Sort=A","Dates=H","DateFormat=P","Fill=—","Direction=H","UseDPDF=Y")</f>
        <v>232.10499999999999</v>
      </c>
      <c r="U9" s="13">
        <f>_xll.BDH("AMZN US Equity","IS_OPERATING_EXPN","FQ3 2003","FQ3 2003","Currency=USD","Period=FQ","BEST_FPERIOD_OVERRIDE=FQ","FILING_STATUS=OR","SCALING_FORMAT=MLN","FA_ADJUSTED=Adjusted","Sort=A","Dates=H","DateFormat=P","Fill=—","Direction=H","UseDPDF=Y")</f>
        <v>233.89</v>
      </c>
      <c r="V9" s="13">
        <f>_xll.BDH("AMZN US Equity","IS_OPERATING_EXPN","FQ4 2003","FQ4 2003","Currency=USD","Period=FQ","BEST_FPERIOD_OVERRIDE=FQ","FILING_STATUS=OR","SCALING_FORMAT=MLN","FA_ADJUSTED=Adjusted","Sort=A","Dates=H","DateFormat=P","Fill=—","Direction=H","UseDPDF=Y")</f>
        <v>289.08100000000002</v>
      </c>
      <c r="W9" s="13">
        <f>_xll.BDH("AMZN US Equity","IS_OPERATING_EXPN","FQ1 2004","FQ1 2004","Currency=USD","Period=FQ","BEST_FPERIOD_OVERRIDE=FQ","FILING_STATUS=OR","SCALING_FORMAT=MLN","FA_ADJUSTED=Adjusted","Sort=A","Dates=H","DateFormat=P","Fill=—","Direction=H","UseDPDF=Y")</f>
        <v>250.399</v>
      </c>
      <c r="X9" s="13">
        <f>_xll.BDH("AMZN US Equity","IS_OPERATING_EXPN","FQ2 2004","FQ2 2004","Currency=USD","Period=FQ","BEST_FPERIOD_OVERRIDE=FQ","FILING_STATUS=OR","SCALING_FORMAT=MLN","FA_ADJUSTED=Adjusted","Sort=A","Dates=H","DateFormat=P","Fill=—","Direction=H","UseDPDF=Y")</f>
        <v>261.92200000000003</v>
      </c>
      <c r="Y9" s="13">
        <f>_xll.BDH("AMZN US Equity","IS_OPERATING_EXPN","FQ3 2004","FQ3 2004","Currency=USD","Period=FQ","BEST_FPERIOD_OVERRIDE=FQ","FILING_STATUS=OR","SCALING_FORMAT=MLN","FA_ADJUSTED=Adjusted","Sort=A","Dates=H","DateFormat=P","Fill=—","Direction=H","UseDPDF=Y")</f>
        <v>274.37700000000001</v>
      </c>
      <c r="Z9" s="13">
        <f>_xll.BDH("AMZN US Equity","IS_OPERATING_EXPN","FQ4 2004","FQ4 2004","Currency=USD","Period=FQ","BEST_FPERIOD_OVERRIDE=FQ","FILING_STATUS=OR","SCALING_FORMAT=MLN","FA_ADJUSTED=Adjusted","Sort=A","Dates=H","DateFormat=P","Fill=—","Direction=H","UseDPDF=Y")</f>
        <v>374.87400000000002</v>
      </c>
      <c r="AA9" s="13">
        <f>_xll.BDH("AMZN US Equity","IS_OPERATING_EXPN","FQ1 2005","FQ1 2005","Currency=USD","Period=FQ","BEST_FPERIOD_OVERRIDE=FQ","FILING_STATUS=OR","SCALING_FORMAT=MLN","FA_ADJUSTED=Adjusted","Sort=A","Dates=H","DateFormat=P","Fill=—","Direction=H","UseDPDF=Y")</f>
        <v>350</v>
      </c>
      <c r="AB9" s="13">
        <f>_xll.BDH("AMZN US Equity","IS_OPERATING_EXPN","FQ2 2005","FQ2 2005","Currency=USD","Period=FQ","BEST_FPERIOD_OVERRIDE=FQ","FILING_STATUS=OR","SCALING_FORMAT=MLN","FA_ADJUSTED=Adjusted","Sort=A","Dates=H","DateFormat=P","Fill=—","Direction=H","UseDPDF=Y")</f>
        <v>346</v>
      </c>
      <c r="AC9" s="13">
        <f>_xll.BDH("AMZN US Equity","IS_OPERATING_EXPN","FQ3 2005","FQ3 2005","Currency=USD","Period=FQ","BEST_FPERIOD_OVERRIDE=FQ","FILING_STATUS=OR","SCALING_FORMAT=MLN","FA_ADJUSTED=Adjusted","Sort=A","Dates=H","DateFormat=P","Fill=—","Direction=H","UseDPDF=Y")</f>
        <v>408</v>
      </c>
      <c r="AD9" s="13">
        <f>_xll.BDH("AMZN US Equity","IS_OPERATING_EXPN","FQ4 2005","FQ4 2005","Currency=USD","Period=FQ","BEST_FPERIOD_OVERRIDE=FQ","FILING_STATUS=OR","SCALING_FORMAT=MLN","FA_ADJUSTED=Adjusted","Sort=A","Dates=H","DateFormat=P","Fill=—","Direction=H","UseDPDF=Y")</f>
        <v>502</v>
      </c>
      <c r="AE9" s="13">
        <f>_xll.BDH("AMZN US Equity","IS_OPERATING_EXPN","FQ1 2006","FQ1 2006","Currency=USD","Period=FQ","BEST_FPERIOD_OVERRIDE=FQ","FILING_STATUS=OR","SCALING_FORMAT=MLN","FA_ADJUSTED=Adjusted","Sort=A","Dates=H","DateFormat=P","Fill=—","Direction=H","UseDPDF=Y")</f>
        <v>441</v>
      </c>
      <c r="AF9" s="13">
        <f>_xll.BDH("AMZN US Equity","IS_OPERATING_EXPN","FQ2 2006","FQ2 2006","Currency=USD","Period=FQ","BEST_FPERIOD_OVERRIDE=FQ","FILING_STATUS=OR","SCALING_FORMAT=MLN","FA_ADJUSTED=Adjusted","Sort=A","Dates=H","DateFormat=P","Fill=—","Direction=H","UseDPDF=Y")</f>
        <v>462</v>
      </c>
      <c r="AG9" s="13">
        <f>_xll.BDH("AMZN US Equity","IS_OPERATING_EXPN","FQ3 2006","FQ3 2006","Currency=USD","Period=FQ","BEST_FPERIOD_OVERRIDE=FQ","FILING_STATUS=OR","SCALING_FORMAT=MLN","FA_ADJUSTED=Adjusted","Sort=A","Dates=H","DateFormat=P","Fill=—","Direction=H","UseDPDF=Y")</f>
        <v>509</v>
      </c>
      <c r="AH9" s="13">
        <f>_xll.BDH("AMZN US Equity","IS_OPERATING_EXPN","FQ4 2006","FQ4 2006","Currency=USD","Period=FQ","BEST_FPERIOD_OVERRIDE=FQ","FILING_STATUS=OR","SCALING_FORMAT=MLN","FA_ADJUSTED=Adjusted","Sort=A","Dates=H","DateFormat=P","Fill=—","Direction=H","UseDPDF=Y")</f>
        <v>655</v>
      </c>
      <c r="AI9" s="13">
        <f>_xll.BDH("AMZN US Equity","IS_OPERATING_EXPN","FQ1 2007","FQ1 2007","Currency=USD","Period=FQ","BEST_FPERIOD_OVERRIDE=FQ","FILING_STATUS=OR","SCALING_FORMAT=MLN","FA_ADJUSTED=Adjusted","Sort=A","Dates=H","DateFormat=P","Fill=—","Direction=H","UseDPDF=Y")</f>
        <v>574</v>
      </c>
      <c r="AJ9" s="13">
        <f>_xll.BDH("AMZN US Equity","IS_OPERATING_EXPN","FQ2 2007","FQ2 2007","Currency=USD","Period=FQ","BEST_FPERIOD_OVERRIDE=FQ","FILING_STATUS=OR","SCALING_FORMAT=MLN","FA_ADJUSTED=Adjusted","Sort=A","Dates=H","DateFormat=P","Fill=—","Direction=H","UseDPDF=Y")</f>
        <v>585</v>
      </c>
      <c r="AK9" s="13">
        <f>_xll.BDH("AMZN US Equity","IS_OPERATING_EXPN","FQ3 2007","FQ3 2007","Currency=USD","Period=FQ","BEST_FPERIOD_OVERRIDE=FQ","FILING_STATUS=OR","SCALING_FORMAT=MLN","FA_ADJUSTED=Adjusted","Sort=A","Dates=H","DateFormat=P","Fill=—","Direction=H","UseDPDF=Y")</f>
        <v>639</v>
      </c>
      <c r="AL9" s="13">
        <f>_xll.BDH("AMZN US Equity","IS_OPERATING_EXPN","FQ4 2007","FQ4 2007","Currency=USD","Period=FQ","BEST_FPERIOD_OVERRIDE=FQ","FILING_STATUS=OR","SCALING_FORMAT=MLN","FA_ADJUSTED=Adjusted","Sort=A","Dates=H","DateFormat=P","Fill=—","Direction=H","UseDPDF=Y")</f>
        <v>899</v>
      </c>
      <c r="AM9" s="13">
        <f>_xll.BDH("AMZN US Equity","IS_OPERATING_EXPN","FQ1 2008","FQ1 2008","Currency=USD","Period=FQ","BEST_FPERIOD_OVERRIDE=FQ","FILING_STATUS=OR","SCALING_FORMAT=MLN","FA_ADJUSTED=Adjusted","Sort=A","Dates=H","DateFormat=P","Fill=—","Direction=H","UseDPDF=Y")</f>
        <v>758</v>
      </c>
      <c r="AN9" s="13">
        <f>_xll.BDH("AMZN US Equity","IS_OPERATING_EXPN","FQ2 2008","FQ2 2008","Currency=USD","Period=FQ","BEST_FPERIOD_OVERRIDE=FQ","FILING_STATUS=OR","SCALING_FORMAT=MLN","FA_ADJUSTED=Adjusted","Sort=A","Dates=H","DateFormat=P","Fill=—","Direction=H","UseDPDF=Y")</f>
        <v>750</v>
      </c>
      <c r="AO9" s="13">
        <f>_xll.BDH("AMZN US Equity","IS_OPERATING_EXPN","FQ3 2008","FQ3 2008","Currency=USD","Period=FQ","BEST_FPERIOD_OVERRIDE=FQ","FILING_STATUS=OR","SCALING_FORMAT=MLN","FA_ADJUSTED=Adjusted","Sort=A","Dates=H","DateFormat=P","Fill=—","Direction=H","UseDPDF=Y")</f>
        <v>845</v>
      </c>
      <c r="AP9" s="13">
        <f>_xll.BDH("AMZN US Equity","IS_OPERATING_EXPN","FQ4 2008","FQ4 2008","Currency=USD","Period=FQ","BEST_FPERIOD_OVERRIDE=FQ","FILING_STATUS=OR","SCALING_FORMAT=MLN","FA_ADJUSTED=Adjusted","Sort=A","Dates=H","DateFormat=P","Fill=—","Direction=H","UseDPDF=Y")</f>
        <v>1076</v>
      </c>
    </row>
    <row r="10" spans="1:42" x14ac:dyDescent="0.25">
      <c r="A10" s="10" t="s">
        <v>94</v>
      </c>
      <c r="B10" s="10" t="s">
        <v>95</v>
      </c>
      <c r="C10" s="13" t="str">
        <f>_xll.BDH("AMZN US Equity","IS_SG&amp;A_EXPENSE","FQ4 1998","FQ4 1998","Currency=USD","Period=FQ","BEST_FPERIOD_OVERRIDE=FQ","FILING_STATUS=OR","SCALING_FORMAT=MLN","FA_ADJUSTED=Adjusted","Sort=A","Dates=H","DateFormat=P","Fill=—","Direction=H","UseDPDF=Y")</f>
        <v>—</v>
      </c>
      <c r="D10" s="13" t="str">
        <f>_xll.BDH("AMZN US Equity","IS_SG&amp;A_EXPENSE","FQ1 1999","FQ1 1999","Currency=USD","Period=FQ","BEST_FPERIOD_OVERRIDE=FQ","FILING_STATUS=OR","SCALING_FORMAT=MLN","FA_ADJUSTED=Adjusted","Sort=A","Dates=H","DateFormat=P","Fill=—","Direction=H","UseDPDF=Y")</f>
        <v>—</v>
      </c>
      <c r="E10" s="13" t="str">
        <f>_xll.BDH("AMZN US Equity","IS_SG&amp;A_EXPENSE","FQ2 1999","FQ2 1999","Currency=USD","Period=FQ","BEST_FPERIOD_OVERRIDE=FQ","FILING_STATUS=OR","SCALING_FORMAT=MLN","FA_ADJUSTED=Adjusted","Sort=A","Dates=H","DateFormat=P","Fill=—","Direction=H","UseDPDF=Y")</f>
        <v>—</v>
      </c>
      <c r="F10" s="13" t="str">
        <f>_xll.BDH("AMZN US Equity","IS_SG&amp;A_EXPENSE","FQ3 1999","FQ3 1999","Currency=USD","Period=FQ","BEST_FPERIOD_OVERRIDE=FQ","FILING_STATUS=OR","SCALING_FORMAT=MLN","FA_ADJUSTED=Adjusted","Sort=A","Dates=H","DateFormat=P","Fill=—","Direction=H","UseDPDF=Y")</f>
        <v>—</v>
      </c>
      <c r="G10" s="13" t="str">
        <f>_xll.BDH("AMZN US Equity","IS_SG&amp;A_EXPENSE","FQ4 1999","FQ4 1999","Currency=USD","Period=FQ","BEST_FPERIOD_OVERRIDE=FQ","FILING_STATUS=OR","SCALING_FORMAT=MLN","FA_ADJUSTED=Adjusted","Sort=A","Dates=H","DateFormat=P","Fill=—","Direction=H","UseDPDF=Y")</f>
        <v>—</v>
      </c>
      <c r="H10" s="13" t="str">
        <f>_xll.BDH("AMZN US Equity","IS_SG&amp;A_EXPENSE","FQ1 2000","FQ1 2000","Currency=USD","Period=FQ","BEST_FPERIOD_OVERRIDE=FQ","FILING_STATUS=OR","SCALING_FORMAT=MLN","FA_ADJUSTED=Adjusted","Sort=A","Dates=H","DateFormat=P","Fill=—","Direction=H","UseDPDF=Y")</f>
        <v>—</v>
      </c>
      <c r="I10" s="13" t="str">
        <f>_xll.BDH("AMZN US Equity","IS_SG&amp;A_EXPENSE","FQ3 2000","FQ3 2000","Currency=USD","Period=FQ","BEST_FPERIOD_OVERRIDE=FQ","FILING_STATUS=OR","SCALING_FORMAT=MLN","FA_ADJUSTED=Adjusted","Sort=A","Dates=H","DateFormat=P","Fill=—","Direction=H","UseDPDF=Y")</f>
        <v>—</v>
      </c>
      <c r="J10" s="13" t="str">
        <f>_xll.BDH("AMZN US Equity","IS_SG&amp;A_EXPENSE","FQ4 2000","FQ4 2000","Currency=USD","Period=FQ","BEST_FPERIOD_OVERRIDE=FQ","FILING_STATUS=OR","SCALING_FORMAT=MLN","FA_ADJUSTED=Adjusted","Sort=A","Dates=H","DateFormat=P","Fill=—","Direction=H","UseDPDF=Y")</f>
        <v>—</v>
      </c>
      <c r="K10" s="13" t="str">
        <f>_xll.BDH("AMZN US Equity","IS_SG&amp;A_EXPENSE","FQ1 2001","FQ1 2001","Currency=USD","Period=FQ","BEST_FPERIOD_OVERRIDE=FQ","FILING_STATUS=OR","SCALING_FORMAT=MLN","FA_ADJUSTED=Adjusted","Sort=A","Dates=H","DateFormat=P","Fill=—","Direction=H","UseDPDF=Y")</f>
        <v>—</v>
      </c>
      <c r="L10" s="13" t="str">
        <f>_xll.BDH("AMZN US Equity","IS_SG&amp;A_EXPENSE","FQ2 2001","FQ2 2001","Currency=USD","Period=FQ","BEST_FPERIOD_OVERRIDE=FQ","FILING_STATUS=OR","SCALING_FORMAT=MLN","FA_ADJUSTED=Adjusted","Sort=A","Dates=H","DateFormat=P","Fill=—","Direction=H","UseDPDF=Y")</f>
        <v>—</v>
      </c>
      <c r="M10" s="13" t="str">
        <f>_xll.BDH("AMZN US Equity","IS_SG&amp;A_EXPENSE","FQ3 2001","FQ3 2001","Currency=USD","Period=FQ","BEST_FPERIOD_OVERRIDE=FQ","FILING_STATUS=OR","SCALING_FORMAT=MLN","FA_ADJUSTED=Adjusted","Sort=A","Dates=H","DateFormat=P","Fill=—","Direction=H","UseDPDF=Y")</f>
        <v>—</v>
      </c>
      <c r="N10" s="13" t="str">
        <f>_xll.BDH("AMZN US Equity","IS_SG&amp;A_EXPENSE","FQ4 2001","FQ4 2001","Currency=USD","Period=FQ","BEST_FPERIOD_OVERRIDE=FQ","FILING_STATUS=OR","SCALING_FORMAT=MLN","FA_ADJUSTED=Adjusted","Sort=A","Dates=H","DateFormat=P","Fill=—","Direction=H","UseDPDF=Y")</f>
        <v>—</v>
      </c>
      <c r="O10" s="13" t="str">
        <f>_xll.BDH("AMZN US Equity","IS_SG&amp;A_EXPENSE","FQ1 2002","FQ1 2002","Currency=USD","Period=FQ","BEST_FPERIOD_OVERRIDE=FQ","FILING_STATUS=OR","SCALING_FORMAT=MLN","FA_ADJUSTED=Adjusted","Sort=A","Dates=H","DateFormat=P","Fill=—","Direction=H","UseDPDF=Y")</f>
        <v>—</v>
      </c>
      <c r="P10" s="13" t="str">
        <f>_xll.BDH("AMZN US Equity","IS_SG&amp;A_EXPENSE","FQ2 2002","FQ2 2002","Currency=USD","Period=FQ","BEST_FPERIOD_OVERRIDE=FQ","FILING_STATUS=OR","SCALING_FORMAT=MLN","FA_ADJUSTED=Adjusted","Sort=A","Dates=H","DateFormat=P","Fill=—","Direction=H","UseDPDF=Y")</f>
        <v>—</v>
      </c>
      <c r="Q10" s="13" t="str">
        <f>_xll.BDH("AMZN US Equity","IS_SG&amp;A_EXPENSE","FQ3 2002","FQ3 2002","Currency=USD","Period=FQ","BEST_FPERIOD_OVERRIDE=FQ","FILING_STATUS=OR","SCALING_FORMAT=MLN","FA_ADJUSTED=Adjusted","Sort=A","Dates=H","DateFormat=P","Fill=—","Direction=H","UseDPDF=Y")</f>
        <v>—</v>
      </c>
      <c r="R10" s="13" t="str">
        <f>_xll.BDH("AMZN US Equity","IS_SG&amp;A_EXPENSE","FQ4 2002","FQ4 2002","Currency=USD","Period=FQ","BEST_FPERIOD_OVERRIDE=FQ","FILING_STATUS=OR","SCALING_FORMAT=MLN","FA_ADJUSTED=Adjusted","Sort=A","Dates=H","DateFormat=P","Fill=—","Direction=H","UseDPDF=Y")</f>
        <v>—</v>
      </c>
      <c r="S10" s="13" t="str">
        <f>_xll.BDH("AMZN US Equity","IS_SG&amp;A_EXPENSE","FQ1 2003","FQ1 2003","Currency=USD","Period=FQ","BEST_FPERIOD_OVERRIDE=FQ","FILING_STATUS=OR","SCALING_FORMAT=MLN","FA_ADJUSTED=Adjusted","Sort=A","Dates=H","DateFormat=P","Fill=—","Direction=H","UseDPDF=Y")</f>
        <v>—</v>
      </c>
      <c r="T10" s="13" t="str">
        <f>_xll.BDH("AMZN US Equity","IS_SG&amp;A_EXPENSE","FQ2 2003","FQ2 2003","Currency=USD","Period=FQ","BEST_FPERIOD_OVERRIDE=FQ","FILING_STATUS=OR","SCALING_FORMAT=MLN","FA_ADJUSTED=Adjusted","Sort=A","Dates=H","DateFormat=P","Fill=—","Direction=H","UseDPDF=Y")</f>
        <v>—</v>
      </c>
      <c r="U10" s="13" t="str">
        <f>_xll.BDH("AMZN US Equity","IS_SG&amp;A_EXPENSE","FQ3 2003","FQ3 2003","Currency=USD","Period=FQ","BEST_FPERIOD_OVERRIDE=FQ","FILING_STATUS=OR","SCALING_FORMAT=MLN","FA_ADJUSTED=Adjusted","Sort=A","Dates=H","DateFormat=P","Fill=—","Direction=H","UseDPDF=Y")</f>
        <v>—</v>
      </c>
      <c r="V10" s="13" t="str">
        <f>_xll.BDH("AMZN US Equity","IS_SG&amp;A_EXPENSE","FQ4 2003","FQ4 2003","Currency=USD","Period=FQ","BEST_FPERIOD_OVERRIDE=FQ","FILING_STATUS=OR","SCALING_FORMAT=MLN","FA_ADJUSTED=Adjusted","Sort=A","Dates=H","DateFormat=P","Fill=—","Direction=H","UseDPDF=Y")</f>
        <v>—</v>
      </c>
      <c r="W10" s="13" t="str">
        <f>_xll.BDH("AMZN US Equity","IS_SG&amp;A_EXPENSE","FQ1 2004","FQ1 2004","Currency=USD","Period=FQ","BEST_FPERIOD_OVERRIDE=FQ","FILING_STATUS=OR","SCALING_FORMAT=MLN","FA_ADJUSTED=Adjusted","Sort=A","Dates=H","DateFormat=P","Fill=—","Direction=H","UseDPDF=Y")</f>
        <v>—</v>
      </c>
      <c r="X10" s="13" t="str">
        <f>_xll.BDH("AMZN US Equity","IS_SG&amp;A_EXPENSE","FQ2 2004","FQ2 2004","Currency=USD","Period=FQ","BEST_FPERIOD_OVERRIDE=FQ","FILING_STATUS=OR","SCALING_FORMAT=MLN","FA_ADJUSTED=Adjusted","Sort=A","Dates=H","DateFormat=P","Fill=—","Direction=H","UseDPDF=Y")</f>
        <v>—</v>
      </c>
      <c r="Y10" s="13" t="str">
        <f>_xll.BDH("AMZN US Equity","IS_SG&amp;A_EXPENSE","FQ3 2004","FQ3 2004","Currency=USD","Period=FQ","BEST_FPERIOD_OVERRIDE=FQ","FILING_STATUS=OR","SCALING_FORMAT=MLN","FA_ADJUSTED=Adjusted","Sort=A","Dates=H","DateFormat=P","Fill=—","Direction=H","UseDPDF=Y")</f>
        <v>—</v>
      </c>
      <c r="Z10" s="13" t="str">
        <f>_xll.BDH("AMZN US Equity","IS_SG&amp;A_EXPENSE","FQ4 2004","FQ4 2004","Currency=USD","Period=FQ","BEST_FPERIOD_OVERRIDE=FQ","FILING_STATUS=OR","SCALING_FORMAT=MLN","FA_ADJUSTED=Adjusted","Sort=A","Dates=H","DateFormat=P","Fill=—","Direction=H","UseDPDF=Y")</f>
        <v>—</v>
      </c>
      <c r="AA10" s="13" t="str">
        <f>_xll.BDH("AMZN US Equity","IS_SG&amp;A_EXPENSE","FQ1 2005","FQ1 2005","Currency=USD","Period=FQ","BEST_FPERIOD_OVERRIDE=FQ","FILING_STATUS=OR","SCALING_FORMAT=MLN","FA_ADJUSTED=Adjusted","Sort=A","Dates=H","DateFormat=P","Fill=—","Direction=H","UseDPDF=Y")</f>
        <v>—</v>
      </c>
      <c r="AB10" s="13" t="str">
        <f>_xll.BDH("AMZN US Equity","IS_SG&amp;A_EXPENSE","FQ2 2005","FQ2 2005","Currency=USD","Period=FQ","BEST_FPERIOD_OVERRIDE=FQ","FILING_STATUS=OR","SCALING_FORMAT=MLN","FA_ADJUSTED=Adjusted","Sort=A","Dates=H","DateFormat=P","Fill=—","Direction=H","UseDPDF=Y")</f>
        <v>—</v>
      </c>
      <c r="AC10" s="13" t="str">
        <f>_xll.BDH("AMZN US Equity","IS_SG&amp;A_EXPENSE","FQ3 2005","FQ3 2005","Currency=USD","Period=FQ","BEST_FPERIOD_OVERRIDE=FQ","FILING_STATUS=OR","SCALING_FORMAT=MLN","FA_ADJUSTED=Adjusted","Sort=A","Dates=H","DateFormat=P","Fill=—","Direction=H","UseDPDF=Y")</f>
        <v>—</v>
      </c>
      <c r="AD10" s="13" t="str">
        <f>_xll.BDH("AMZN US Equity","IS_SG&amp;A_EXPENSE","FQ4 2005","FQ4 2005","Currency=USD","Period=FQ","BEST_FPERIOD_OVERRIDE=FQ","FILING_STATUS=OR","SCALING_FORMAT=MLN","FA_ADJUSTED=Adjusted","Sort=A","Dates=H","DateFormat=P","Fill=—","Direction=H","UseDPDF=Y")</f>
        <v>—</v>
      </c>
      <c r="AE10" s="13" t="str">
        <f>_xll.BDH("AMZN US Equity","IS_SG&amp;A_EXPENSE","FQ1 2006","FQ1 2006","Currency=USD","Period=FQ","BEST_FPERIOD_OVERRIDE=FQ","FILING_STATUS=OR","SCALING_FORMAT=MLN","FA_ADJUSTED=Adjusted","Sort=A","Dates=H","DateFormat=P","Fill=—","Direction=H","UseDPDF=Y")</f>
        <v>—</v>
      </c>
      <c r="AF10" s="13" t="str">
        <f>_xll.BDH("AMZN US Equity","IS_SG&amp;A_EXPENSE","FQ2 2006","FQ2 2006","Currency=USD","Period=FQ","BEST_FPERIOD_OVERRIDE=FQ","FILING_STATUS=OR","SCALING_FORMAT=MLN","FA_ADJUSTED=Adjusted","Sort=A","Dates=H","DateFormat=P","Fill=—","Direction=H","UseDPDF=Y")</f>
        <v>—</v>
      </c>
      <c r="AG10" s="13" t="str">
        <f>_xll.BDH("AMZN US Equity","IS_SG&amp;A_EXPENSE","FQ3 2006","FQ3 2006","Currency=USD","Period=FQ","BEST_FPERIOD_OVERRIDE=FQ","FILING_STATUS=OR","SCALING_FORMAT=MLN","FA_ADJUSTED=Adjusted","Sort=A","Dates=H","DateFormat=P","Fill=—","Direction=H","UseDPDF=Y")</f>
        <v>—</v>
      </c>
      <c r="AH10" s="13" t="str">
        <f>_xll.BDH("AMZN US Equity","IS_SG&amp;A_EXPENSE","FQ4 2006","FQ4 2006","Currency=USD","Period=FQ","BEST_FPERIOD_OVERRIDE=FQ","FILING_STATUS=OR","SCALING_FORMAT=MLN","FA_ADJUSTED=Adjusted","Sort=A","Dates=H","DateFormat=P","Fill=—","Direction=H","UseDPDF=Y")</f>
        <v>—</v>
      </c>
      <c r="AI10" s="13" t="str">
        <f>_xll.BDH("AMZN US Equity","IS_SG&amp;A_EXPENSE","FQ1 2007","FQ1 2007","Currency=USD","Period=FQ","BEST_FPERIOD_OVERRIDE=FQ","FILING_STATUS=OR","SCALING_FORMAT=MLN","FA_ADJUSTED=Adjusted","Sort=A","Dates=H","DateFormat=P","Fill=—","Direction=H","UseDPDF=Y")</f>
        <v>—</v>
      </c>
      <c r="AJ10" s="13" t="str">
        <f>_xll.BDH("AMZN US Equity","IS_SG&amp;A_EXPENSE","FQ2 2007","FQ2 2007","Currency=USD","Period=FQ","BEST_FPERIOD_OVERRIDE=FQ","FILING_STATUS=OR","SCALING_FORMAT=MLN","FA_ADJUSTED=Adjusted","Sort=A","Dates=H","DateFormat=P","Fill=—","Direction=H","UseDPDF=Y")</f>
        <v>—</v>
      </c>
      <c r="AK10" s="13" t="str">
        <f>_xll.BDH("AMZN US Equity","IS_SG&amp;A_EXPENSE","FQ3 2007","FQ3 2007","Currency=USD","Period=FQ","BEST_FPERIOD_OVERRIDE=FQ","FILING_STATUS=OR","SCALING_FORMAT=MLN","FA_ADJUSTED=Adjusted","Sort=A","Dates=H","DateFormat=P","Fill=—","Direction=H","UseDPDF=Y")</f>
        <v>—</v>
      </c>
      <c r="AL10" s="13">
        <f>_xll.BDH("AMZN US Equity","IS_SG&amp;A_EXPENSE","FQ4 2007","FQ4 2007","Currency=USD","Period=FQ","BEST_FPERIOD_OVERRIDE=FQ","FILING_STATUS=OR","SCALING_FORMAT=MLN","FA_ADJUSTED=Adjusted","Sort=A","Dates=H","DateFormat=P","Fill=—","Direction=H","UseDPDF=Y")</f>
        <v>197</v>
      </c>
      <c r="AM10" s="13" t="str">
        <f>_xll.BDH("AMZN US Equity","IS_SG&amp;A_EXPENSE","FQ1 2008","FQ1 2008","Currency=USD","Period=FQ","BEST_FPERIOD_OVERRIDE=FQ","FILING_STATUS=OR","SCALING_FORMAT=MLN","FA_ADJUSTED=Adjusted","Sort=A","Dates=H","DateFormat=P","Fill=—","Direction=H","UseDPDF=Y")</f>
        <v>—</v>
      </c>
      <c r="AN10" s="13" t="str">
        <f>_xll.BDH("AMZN US Equity","IS_SG&amp;A_EXPENSE","FQ2 2008","FQ2 2008","Currency=USD","Period=FQ","BEST_FPERIOD_OVERRIDE=FQ","FILING_STATUS=OR","SCALING_FORMAT=MLN","FA_ADJUSTED=Adjusted","Sort=A","Dates=H","DateFormat=P","Fill=—","Direction=H","UseDPDF=Y")</f>
        <v>—</v>
      </c>
      <c r="AO10" s="13" t="str">
        <f>_xll.BDH("AMZN US Equity","IS_SG&amp;A_EXPENSE","FQ3 2008","FQ3 2008","Currency=USD","Period=FQ","BEST_FPERIOD_OVERRIDE=FQ","FILING_STATUS=OR","SCALING_FORMAT=MLN","FA_ADJUSTED=Adjusted","Sort=A","Dates=H","DateFormat=P","Fill=—","Direction=H","UseDPDF=Y")</f>
        <v>—</v>
      </c>
      <c r="AP10" s="13">
        <f>_xll.BDH("AMZN US Equity","IS_SG&amp;A_EXPENSE","FQ4 2008","FQ4 2008","Currency=USD","Period=FQ","BEST_FPERIOD_OVERRIDE=FQ","FILING_STATUS=OR","SCALING_FORMAT=MLN","FA_ADJUSTED=Adjusted","Sort=A","Dates=H","DateFormat=P","Fill=—","Direction=H","UseDPDF=Y")</f>
        <v>241</v>
      </c>
    </row>
    <row r="11" spans="1:42" x14ac:dyDescent="0.25">
      <c r="A11" s="11" t="s">
        <v>96</v>
      </c>
      <c r="B11" s="11" t="s">
        <v>97</v>
      </c>
      <c r="C11" s="18" t="str">
        <f>_xll.BDH("AMZN US Equity","IS_SELLING_EXPENSES","FQ4 1998","FQ4 1998","Currency=USD","Period=FQ","BEST_FPERIOD_OVERRIDE=FQ","FILING_STATUS=OR","SCALING_FORMAT=MLN","FA_ADJUSTED=Adjusted","Sort=A","Dates=H","DateFormat=P","Fill=—","Direction=H","UseDPDF=Y")</f>
        <v>—</v>
      </c>
      <c r="D11" s="18" t="str">
        <f>_xll.BDH("AMZN US Equity","IS_SELLING_EXPENSES","FQ1 1999","FQ1 1999","Currency=USD","Period=FQ","BEST_FPERIOD_OVERRIDE=FQ","FILING_STATUS=OR","SCALING_FORMAT=MLN","FA_ADJUSTED=Adjusted","Sort=A","Dates=H","DateFormat=P","Fill=—","Direction=H","UseDPDF=Y")</f>
        <v>—</v>
      </c>
      <c r="E11" s="18" t="str">
        <f>_xll.BDH("AMZN US Equity","IS_SELLING_EXPENSES","FQ2 1999","FQ2 1999","Currency=USD","Period=FQ","BEST_FPERIOD_OVERRIDE=FQ","FILING_STATUS=OR","SCALING_FORMAT=MLN","FA_ADJUSTED=Adjusted","Sort=A","Dates=H","DateFormat=P","Fill=—","Direction=H","UseDPDF=Y")</f>
        <v>—</v>
      </c>
      <c r="F11" s="18" t="str">
        <f>_xll.BDH("AMZN US Equity","IS_SELLING_EXPENSES","FQ3 1999","FQ3 1999","Currency=USD","Period=FQ","BEST_FPERIOD_OVERRIDE=FQ","FILING_STATUS=OR","SCALING_FORMAT=MLN","FA_ADJUSTED=Adjusted","Sort=A","Dates=H","DateFormat=P","Fill=—","Direction=H","UseDPDF=Y")</f>
        <v>—</v>
      </c>
      <c r="G11" s="18" t="str">
        <f>_xll.BDH("AMZN US Equity","IS_SELLING_EXPENSES","FQ4 1999","FQ4 1999","Currency=USD","Period=FQ","BEST_FPERIOD_OVERRIDE=FQ","FILING_STATUS=OR","SCALING_FORMAT=MLN","FA_ADJUSTED=Adjusted","Sort=A","Dates=H","DateFormat=P","Fill=—","Direction=H","UseDPDF=Y")</f>
        <v>—</v>
      </c>
      <c r="H11" s="18" t="str">
        <f>_xll.BDH("AMZN US Equity","IS_SELLING_EXPENSES","FQ1 2000","FQ1 2000","Currency=USD","Period=FQ","BEST_FPERIOD_OVERRIDE=FQ","FILING_STATUS=OR","SCALING_FORMAT=MLN","FA_ADJUSTED=Adjusted","Sort=A","Dates=H","DateFormat=P","Fill=—","Direction=H","UseDPDF=Y")</f>
        <v>—</v>
      </c>
      <c r="I11" s="18" t="str">
        <f>_xll.BDH("AMZN US Equity","IS_SELLING_EXPENSES","FQ3 2000","FQ3 2000","Currency=USD","Period=FQ","BEST_FPERIOD_OVERRIDE=FQ","FILING_STATUS=OR","SCALING_FORMAT=MLN","FA_ADJUSTED=Adjusted","Sort=A","Dates=H","DateFormat=P","Fill=—","Direction=H","UseDPDF=Y")</f>
        <v>—</v>
      </c>
      <c r="J11" s="18" t="str">
        <f>_xll.BDH("AMZN US Equity","IS_SELLING_EXPENSES","FQ4 2000","FQ4 2000","Currency=USD","Period=FQ","BEST_FPERIOD_OVERRIDE=FQ","FILING_STATUS=OR","SCALING_FORMAT=MLN","FA_ADJUSTED=Adjusted","Sort=A","Dates=H","DateFormat=P","Fill=—","Direction=H","UseDPDF=Y")</f>
        <v>—</v>
      </c>
      <c r="K11" s="18" t="str">
        <f>_xll.BDH("AMZN US Equity","IS_SELLING_EXPENSES","FQ1 2001","FQ1 2001","Currency=USD","Period=FQ","BEST_FPERIOD_OVERRIDE=FQ","FILING_STATUS=OR","SCALING_FORMAT=MLN","FA_ADJUSTED=Adjusted","Sort=A","Dates=H","DateFormat=P","Fill=—","Direction=H","UseDPDF=Y")</f>
        <v>—</v>
      </c>
      <c r="L11" s="18" t="str">
        <f>_xll.BDH("AMZN US Equity","IS_SELLING_EXPENSES","FQ2 2001","FQ2 2001","Currency=USD","Period=FQ","BEST_FPERIOD_OVERRIDE=FQ","FILING_STATUS=OR","SCALING_FORMAT=MLN","FA_ADJUSTED=Adjusted","Sort=A","Dates=H","DateFormat=P","Fill=—","Direction=H","UseDPDF=Y")</f>
        <v>—</v>
      </c>
      <c r="M11" s="18" t="str">
        <f>_xll.BDH("AMZN US Equity","IS_SELLING_EXPENSES","FQ3 2001","FQ3 2001","Currency=USD","Period=FQ","BEST_FPERIOD_OVERRIDE=FQ","FILING_STATUS=OR","SCALING_FORMAT=MLN","FA_ADJUSTED=Adjusted","Sort=A","Dates=H","DateFormat=P","Fill=—","Direction=H","UseDPDF=Y")</f>
        <v>—</v>
      </c>
      <c r="N11" s="18" t="str">
        <f>_xll.BDH("AMZN US Equity","IS_SELLING_EXPENSES","FQ4 2001","FQ4 2001","Currency=USD","Period=FQ","BEST_FPERIOD_OVERRIDE=FQ","FILING_STATUS=OR","SCALING_FORMAT=MLN","FA_ADJUSTED=Adjusted","Sort=A","Dates=H","DateFormat=P","Fill=—","Direction=H","UseDPDF=Y")</f>
        <v>—</v>
      </c>
      <c r="O11" s="18" t="str">
        <f>_xll.BDH("AMZN US Equity","IS_SELLING_EXPENSES","FQ1 2002","FQ1 2002","Currency=USD","Period=FQ","BEST_FPERIOD_OVERRIDE=FQ","FILING_STATUS=OR","SCALING_FORMAT=MLN","FA_ADJUSTED=Adjusted","Sort=A","Dates=H","DateFormat=P","Fill=—","Direction=H","UseDPDF=Y")</f>
        <v>—</v>
      </c>
      <c r="P11" s="18" t="str">
        <f>_xll.BDH("AMZN US Equity","IS_SELLING_EXPENSES","FQ2 2002","FQ2 2002","Currency=USD","Period=FQ","BEST_FPERIOD_OVERRIDE=FQ","FILING_STATUS=OR","SCALING_FORMAT=MLN","FA_ADJUSTED=Adjusted","Sort=A","Dates=H","DateFormat=P","Fill=—","Direction=H","UseDPDF=Y")</f>
        <v>—</v>
      </c>
      <c r="Q11" s="18" t="str">
        <f>_xll.BDH("AMZN US Equity","IS_SELLING_EXPENSES","FQ3 2002","FQ3 2002","Currency=USD","Period=FQ","BEST_FPERIOD_OVERRIDE=FQ","FILING_STATUS=OR","SCALING_FORMAT=MLN","FA_ADJUSTED=Adjusted","Sort=A","Dates=H","DateFormat=P","Fill=—","Direction=H","UseDPDF=Y")</f>
        <v>—</v>
      </c>
      <c r="R11" s="18" t="str">
        <f>_xll.BDH("AMZN US Equity","IS_SELLING_EXPENSES","FQ4 2002","FQ4 2002","Currency=USD","Period=FQ","BEST_FPERIOD_OVERRIDE=FQ","FILING_STATUS=OR","SCALING_FORMAT=MLN","FA_ADJUSTED=Adjusted","Sort=A","Dates=H","DateFormat=P","Fill=—","Direction=H","UseDPDF=Y")</f>
        <v>—</v>
      </c>
      <c r="S11" s="18" t="str">
        <f>_xll.BDH("AMZN US Equity","IS_SELLING_EXPENSES","FQ1 2003","FQ1 2003","Currency=USD","Period=FQ","BEST_FPERIOD_OVERRIDE=FQ","FILING_STATUS=OR","SCALING_FORMAT=MLN","FA_ADJUSTED=Adjusted","Sort=A","Dates=H","DateFormat=P","Fill=—","Direction=H","UseDPDF=Y")</f>
        <v>—</v>
      </c>
      <c r="T11" s="18" t="str">
        <f>_xll.BDH("AMZN US Equity","IS_SELLING_EXPENSES","FQ2 2003","FQ2 2003","Currency=USD","Period=FQ","BEST_FPERIOD_OVERRIDE=FQ","FILING_STATUS=OR","SCALING_FORMAT=MLN","FA_ADJUSTED=Adjusted","Sort=A","Dates=H","DateFormat=P","Fill=—","Direction=H","UseDPDF=Y")</f>
        <v>—</v>
      </c>
      <c r="U11" s="18" t="str">
        <f>_xll.BDH("AMZN US Equity","IS_SELLING_EXPENSES","FQ3 2003","FQ3 2003","Currency=USD","Period=FQ","BEST_FPERIOD_OVERRIDE=FQ","FILING_STATUS=OR","SCALING_FORMAT=MLN","FA_ADJUSTED=Adjusted","Sort=A","Dates=H","DateFormat=P","Fill=—","Direction=H","UseDPDF=Y")</f>
        <v>—</v>
      </c>
      <c r="V11" s="18" t="str">
        <f>_xll.BDH("AMZN US Equity","IS_SELLING_EXPENSES","FQ4 2003","FQ4 2003","Currency=USD","Period=FQ","BEST_FPERIOD_OVERRIDE=FQ","FILING_STATUS=OR","SCALING_FORMAT=MLN","FA_ADJUSTED=Adjusted","Sort=A","Dates=H","DateFormat=P","Fill=—","Direction=H","UseDPDF=Y")</f>
        <v>—</v>
      </c>
      <c r="W11" s="18" t="str">
        <f>_xll.BDH("AMZN US Equity","IS_SELLING_EXPENSES","FQ1 2004","FQ1 2004","Currency=USD","Period=FQ","BEST_FPERIOD_OVERRIDE=FQ","FILING_STATUS=OR","SCALING_FORMAT=MLN","FA_ADJUSTED=Adjusted","Sort=A","Dates=H","DateFormat=P","Fill=—","Direction=H","UseDPDF=Y")</f>
        <v>—</v>
      </c>
      <c r="X11" s="18" t="str">
        <f>_xll.BDH("AMZN US Equity","IS_SELLING_EXPENSES","FQ2 2004","FQ2 2004","Currency=USD","Period=FQ","BEST_FPERIOD_OVERRIDE=FQ","FILING_STATUS=OR","SCALING_FORMAT=MLN","FA_ADJUSTED=Adjusted","Sort=A","Dates=H","DateFormat=P","Fill=—","Direction=H","UseDPDF=Y")</f>
        <v>—</v>
      </c>
      <c r="Y11" s="18" t="str">
        <f>_xll.BDH("AMZN US Equity","IS_SELLING_EXPENSES","FQ3 2004","FQ3 2004","Currency=USD","Period=FQ","BEST_FPERIOD_OVERRIDE=FQ","FILING_STATUS=OR","SCALING_FORMAT=MLN","FA_ADJUSTED=Adjusted","Sort=A","Dates=H","DateFormat=P","Fill=—","Direction=H","UseDPDF=Y")</f>
        <v>—</v>
      </c>
      <c r="Z11" s="18" t="str">
        <f>_xll.BDH("AMZN US Equity","IS_SELLING_EXPENSES","FQ4 2004","FQ4 2004","Currency=USD","Period=FQ","BEST_FPERIOD_OVERRIDE=FQ","FILING_STATUS=OR","SCALING_FORMAT=MLN","FA_ADJUSTED=Adjusted","Sort=A","Dates=H","DateFormat=P","Fill=—","Direction=H","UseDPDF=Y")</f>
        <v>—</v>
      </c>
      <c r="AA11" s="18" t="str">
        <f>_xll.BDH("AMZN US Equity","IS_SELLING_EXPENSES","FQ1 2005","FQ1 2005","Currency=USD","Period=FQ","BEST_FPERIOD_OVERRIDE=FQ","FILING_STATUS=OR","SCALING_FORMAT=MLN","FA_ADJUSTED=Adjusted","Sort=A","Dates=H","DateFormat=P","Fill=—","Direction=H","UseDPDF=Y")</f>
        <v>—</v>
      </c>
      <c r="AB11" s="18" t="str">
        <f>_xll.BDH("AMZN US Equity","IS_SELLING_EXPENSES","FQ2 2005","FQ2 2005","Currency=USD","Period=FQ","BEST_FPERIOD_OVERRIDE=FQ","FILING_STATUS=OR","SCALING_FORMAT=MLN","FA_ADJUSTED=Adjusted","Sort=A","Dates=H","DateFormat=P","Fill=—","Direction=H","UseDPDF=Y")</f>
        <v>—</v>
      </c>
      <c r="AC11" s="18" t="str">
        <f>_xll.BDH("AMZN US Equity","IS_SELLING_EXPENSES","FQ3 2005","FQ3 2005","Currency=USD","Period=FQ","BEST_FPERIOD_OVERRIDE=FQ","FILING_STATUS=OR","SCALING_FORMAT=MLN","FA_ADJUSTED=Adjusted","Sort=A","Dates=H","DateFormat=P","Fill=—","Direction=H","UseDPDF=Y")</f>
        <v>—</v>
      </c>
      <c r="AD11" s="18" t="str">
        <f>_xll.BDH("AMZN US Equity","IS_SELLING_EXPENSES","FQ4 2005","FQ4 2005","Currency=USD","Period=FQ","BEST_FPERIOD_OVERRIDE=FQ","FILING_STATUS=OR","SCALING_FORMAT=MLN","FA_ADJUSTED=Adjusted","Sort=A","Dates=H","DateFormat=P","Fill=—","Direction=H","UseDPDF=Y")</f>
        <v>—</v>
      </c>
      <c r="AE11" s="18" t="str">
        <f>_xll.BDH("AMZN US Equity","IS_SELLING_EXPENSES","FQ1 2006","FQ1 2006","Currency=USD","Period=FQ","BEST_FPERIOD_OVERRIDE=FQ","FILING_STATUS=OR","SCALING_FORMAT=MLN","FA_ADJUSTED=Adjusted","Sort=A","Dates=H","DateFormat=P","Fill=—","Direction=H","UseDPDF=Y")</f>
        <v>—</v>
      </c>
      <c r="AF11" s="18" t="str">
        <f>_xll.BDH("AMZN US Equity","IS_SELLING_EXPENSES","FQ2 2006","FQ2 2006","Currency=USD","Period=FQ","BEST_FPERIOD_OVERRIDE=FQ","FILING_STATUS=OR","SCALING_FORMAT=MLN","FA_ADJUSTED=Adjusted","Sort=A","Dates=H","DateFormat=P","Fill=—","Direction=H","UseDPDF=Y")</f>
        <v>—</v>
      </c>
      <c r="AG11" s="18" t="str">
        <f>_xll.BDH("AMZN US Equity","IS_SELLING_EXPENSES","FQ3 2006","FQ3 2006","Currency=USD","Period=FQ","BEST_FPERIOD_OVERRIDE=FQ","FILING_STATUS=OR","SCALING_FORMAT=MLN","FA_ADJUSTED=Adjusted","Sort=A","Dates=H","DateFormat=P","Fill=—","Direction=H","UseDPDF=Y")</f>
        <v>—</v>
      </c>
      <c r="AH11" s="18" t="str">
        <f>_xll.BDH("AMZN US Equity","IS_SELLING_EXPENSES","FQ4 2006","FQ4 2006","Currency=USD","Period=FQ","BEST_FPERIOD_OVERRIDE=FQ","FILING_STATUS=OR","SCALING_FORMAT=MLN","FA_ADJUSTED=Adjusted","Sort=A","Dates=H","DateFormat=P","Fill=—","Direction=H","UseDPDF=Y")</f>
        <v>—</v>
      </c>
      <c r="AI11" s="18" t="str">
        <f>_xll.BDH("AMZN US Equity","IS_SELLING_EXPENSES","FQ1 2007","FQ1 2007","Currency=USD","Period=FQ","BEST_FPERIOD_OVERRIDE=FQ","FILING_STATUS=OR","SCALING_FORMAT=MLN","FA_ADJUSTED=Adjusted","Sort=A","Dates=H","DateFormat=P","Fill=—","Direction=H","UseDPDF=Y")</f>
        <v>—</v>
      </c>
      <c r="AJ11" s="18" t="str">
        <f>_xll.BDH("AMZN US Equity","IS_SELLING_EXPENSES","FQ2 2007","FQ2 2007","Currency=USD","Period=FQ","BEST_FPERIOD_OVERRIDE=FQ","FILING_STATUS=OR","SCALING_FORMAT=MLN","FA_ADJUSTED=Adjusted","Sort=A","Dates=H","DateFormat=P","Fill=—","Direction=H","UseDPDF=Y")</f>
        <v>—</v>
      </c>
      <c r="AK11" s="18" t="str">
        <f>_xll.BDH("AMZN US Equity","IS_SELLING_EXPENSES","FQ3 2007","FQ3 2007","Currency=USD","Period=FQ","BEST_FPERIOD_OVERRIDE=FQ","FILING_STATUS=OR","SCALING_FORMAT=MLN","FA_ADJUSTED=Adjusted","Sort=A","Dates=H","DateFormat=P","Fill=—","Direction=H","UseDPDF=Y")</f>
        <v>—</v>
      </c>
      <c r="AL11" s="18">
        <f>_xll.BDH("AMZN US Equity","IS_SELLING_EXPENSES","FQ4 2007","FQ4 2007","Currency=USD","Period=FQ","BEST_FPERIOD_OVERRIDE=FQ","FILING_STATUS=OR","SCALING_FORMAT=MLN","FA_ADJUSTED=Adjusted","Sort=A","Dates=H","DateFormat=P","Fill=—","Direction=H","UseDPDF=Y")</f>
        <v>133</v>
      </c>
      <c r="AM11" s="18" t="str">
        <f>_xll.BDH("AMZN US Equity","IS_SELLING_EXPENSES","FQ1 2008","FQ1 2008","Currency=USD","Period=FQ","BEST_FPERIOD_OVERRIDE=FQ","FILING_STATUS=OR","SCALING_FORMAT=MLN","FA_ADJUSTED=Adjusted","Sort=A","Dates=H","DateFormat=P","Fill=—","Direction=H","UseDPDF=Y")</f>
        <v>—</v>
      </c>
      <c r="AN11" s="18" t="str">
        <f>_xll.BDH("AMZN US Equity","IS_SELLING_EXPENSES","FQ2 2008","FQ2 2008","Currency=USD","Period=FQ","BEST_FPERIOD_OVERRIDE=FQ","FILING_STATUS=OR","SCALING_FORMAT=MLN","FA_ADJUSTED=Adjusted","Sort=A","Dates=H","DateFormat=P","Fill=—","Direction=H","UseDPDF=Y")</f>
        <v>—</v>
      </c>
      <c r="AO11" s="18" t="str">
        <f>_xll.BDH("AMZN US Equity","IS_SELLING_EXPENSES","FQ3 2008","FQ3 2008","Currency=USD","Period=FQ","BEST_FPERIOD_OVERRIDE=FQ","FILING_STATUS=OR","SCALING_FORMAT=MLN","FA_ADJUSTED=Adjusted","Sort=A","Dates=H","DateFormat=P","Fill=—","Direction=H","UseDPDF=Y")</f>
        <v>—</v>
      </c>
      <c r="AP11" s="18">
        <f>_xll.BDH("AMZN US Equity","IS_SELLING_EXPENSES","FQ4 2008","FQ4 2008","Currency=USD","Period=FQ","BEST_FPERIOD_OVERRIDE=FQ","FILING_STATUS=OR","SCALING_FORMAT=MLN","FA_ADJUSTED=Adjusted","Sort=A","Dates=H","DateFormat=P","Fill=—","Direction=H","UseDPDF=Y")</f>
        <v>169</v>
      </c>
    </row>
    <row r="12" spans="1:42" x14ac:dyDescent="0.25">
      <c r="A12" s="6" t="s">
        <v>98</v>
      </c>
      <c r="B12" s="6" t="s">
        <v>99</v>
      </c>
      <c r="C12" s="16">
        <f>_xll.BDH("AMZN US Equity","IS_OPER_INC","FQ4 1998","FQ4 1998","Currency=USD","Period=FQ","BEST_FPERIOD_OVERRIDE=FQ","FILING_STATUS=OR","SCALING_FORMAT=MLN","FA_ADJUSTED=Adjusted","Sort=A","Dates=H","DateFormat=P","Fill=—","Direction=H","UseDPDF=Y")</f>
        <v>-17.995999999999999</v>
      </c>
      <c r="D12" s="16">
        <f>_xll.BDH("AMZN US Equity","IS_OPER_INC","FQ1 1999","FQ1 1999","Currency=USD","Period=FQ","BEST_FPERIOD_OVERRIDE=FQ","FILING_STATUS=OR","SCALING_FORMAT=MLN","FA_ADJUSTED=Adjusted","Sort=A","Dates=H","DateFormat=P","Fill=—","Direction=H","UseDPDF=Y")</f>
        <v>-51.579000000000001</v>
      </c>
      <c r="E12" s="16">
        <f>_xll.BDH("AMZN US Equity","IS_OPER_INC","FQ2 1999","FQ2 1999","Currency=USD","Period=FQ","BEST_FPERIOD_OVERRIDE=FQ","FILING_STATUS=OR","SCALING_FORMAT=MLN","FA_ADJUSTED=Adjusted","Sort=A","Dates=H","DateFormat=P","Fill=—","Direction=H","UseDPDF=Y")</f>
        <v>-109.071</v>
      </c>
      <c r="F12" s="16">
        <f>_xll.BDH("AMZN US Equity","IS_OPER_INC","FQ3 1999","FQ3 1999","Currency=USD","Period=FQ","BEST_FPERIOD_OVERRIDE=FQ","FILING_STATUS=OR","SCALING_FORMAT=MLN","FA_ADJUSTED=Adjusted","Sort=A","Dates=H","DateFormat=P","Fill=—","Direction=H","UseDPDF=Y")</f>
        <v>-165.33</v>
      </c>
      <c r="G12" s="16">
        <f>_xll.BDH("AMZN US Equity","IS_OPER_INC","FQ4 1999","FQ4 1999","Currency=USD","Period=FQ","BEST_FPERIOD_OVERRIDE=FQ","FILING_STATUS=OR","SCALING_FORMAT=MLN","FA_ADJUSTED=Adjusted","Sort=A","Dates=H","DateFormat=P","Fill=—","Direction=H","UseDPDF=Y")</f>
        <v>-82.18</v>
      </c>
      <c r="H12" s="16">
        <f>_xll.BDH("AMZN US Equity","IS_OPER_INC","FQ1 2000","FQ1 2000","Currency=USD","Period=FQ","BEST_FPERIOD_OVERRIDE=FQ","FILING_STATUS=OR","SCALING_FORMAT=MLN","FA_ADJUSTED=Adjusted","Sort=A","Dates=H","DateFormat=P","Fill=—","Direction=H","UseDPDF=Y")</f>
        <v>-195.87299999999999</v>
      </c>
      <c r="I12" s="16">
        <f>_xll.BDH("AMZN US Equity","IS_OPER_INC","FQ3 2000","FQ3 2000","Currency=USD","Period=FQ","BEST_FPERIOD_OVERRIDE=FQ","FILING_STATUS=OR","SCALING_FORMAT=MLN","FA_ADJUSTED=Adjusted","Sort=A","Dates=H","DateFormat=P","Fill=—","Direction=H","UseDPDF=Y")</f>
        <v>-151.72399999999999</v>
      </c>
      <c r="J12" s="16">
        <f>_xll.BDH("AMZN US Equity","IS_OPER_INC","FQ4 2000","FQ4 2000","Currency=USD","Period=FQ","BEST_FPERIOD_OVERRIDE=FQ","FILING_STATUS=OR","SCALING_FORMAT=MLN","FA_ADJUSTED=Adjusted","Sort=A","Dates=H","DateFormat=P","Fill=—","Direction=H","UseDPDF=Y")</f>
        <v>-138.04400000000001</v>
      </c>
      <c r="K12" s="16">
        <f>_xll.BDH("AMZN US Equity","IS_OPER_INC","FQ1 2001","FQ1 2001","Currency=USD","Period=FQ","BEST_FPERIOD_OVERRIDE=FQ","FILING_STATUS=OR","SCALING_FORMAT=MLN","FA_ADJUSTED=Adjusted","Sort=A","Dates=H","DateFormat=P","Fill=—","Direction=H","UseDPDF=Y")</f>
        <v>-102.348</v>
      </c>
      <c r="L12" s="16">
        <f>_xll.BDH("AMZN US Equity","IS_OPER_INC","FQ2 2001","FQ2 2001","Currency=USD","Period=FQ","BEST_FPERIOD_OVERRIDE=FQ","FILING_STATUS=OR","SCALING_FORMAT=MLN","FA_ADJUSTED=Adjusted","Sort=A","Dates=H","DateFormat=P","Fill=—","Direction=H","UseDPDF=Y")</f>
        <v>-81.19</v>
      </c>
      <c r="M12" s="16">
        <f>_xll.BDH("AMZN US Equity","IS_OPER_INC","FQ3 2001","FQ3 2001","Currency=USD","Period=FQ","BEST_FPERIOD_OVERRIDE=FQ","FILING_STATUS=OR","SCALING_FORMAT=MLN","FA_ADJUSTED=Adjusted","Sort=A","Dates=H","DateFormat=P","Fill=—","Direction=H","UseDPDF=Y")</f>
        <v>-66.34</v>
      </c>
      <c r="N12" s="16">
        <f>_xll.BDH("AMZN US Equity","IS_OPER_INC","FQ4 2001","FQ4 2001","Currency=USD","Period=FQ","BEST_FPERIOD_OVERRIDE=FQ","FILING_STATUS=OR","SCALING_FORMAT=MLN","FA_ADJUSTED=Adjusted","Sort=A","Dates=H","DateFormat=P","Fill=—","Direction=H","UseDPDF=Y")</f>
        <v>21.773</v>
      </c>
      <c r="O12" s="16">
        <f>_xll.BDH("AMZN US Equity","IS_OPER_INC","FQ1 2002","FQ1 2002","Currency=USD","Period=FQ","BEST_FPERIOD_OVERRIDE=FQ","FILING_STATUS=OR","SCALING_FORMAT=MLN","FA_ADJUSTED=Adjusted","Sort=A","Dates=H","DateFormat=P","Fill=—","Direction=H","UseDPDF=Y")</f>
        <v>11.747999999999999</v>
      </c>
      <c r="P12" s="16">
        <f>_xll.BDH("AMZN US Equity","IS_OPER_INC","FQ2 2002","FQ2 2002","Currency=USD","Period=FQ","BEST_FPERIOD_OVERRIDE=FQ","FILING_STATUS=OR","SCALING_FORMAT=MLN","FA_ADJUSTED=Adjusted","Sort=A","Dates=H","DateFormat=P","Fill=—","Direction=H","UseDPDF=Y")</f>
        <v>1.472</v>
      </c>
      <c r="Q12" s="16">
        <f>_xll.BDH("AMZN US Equity","IS_OPER_INC","FQ3 2002","FQ3 2002","Currency=USD","Period=FQ","BEST_FPERIOD_OVERRIDE=FQ","FILING_STATUS=OR","SCALING_FORMAT=MLN","FA_ADJUSTED=Adjusted","Sort=A","Dates=H","DateFormat=P","Fill=—","Direction=H","UseDPDF=Y")</f>
        <v>27.111999999999998</v>
      </c>
      <c r="R12" s="16">
        <f>_xll.BDH("AMZN US Equity","IS_OPER_INC","FQ4 2002","FQ4 2002","Currency=USD","Period=FQ","BEST_FPERIOD_OVERRIDE=FQ","FILING_STATUS=OR","SCALING_FORMAT=MLN","FA_ADJUSTED=Adjusted","Sort=A","Dates=H","DateFormat=P","Fill=—","Direction=H","UseDPDF=Y")</f>
        <v>65.364999999999995</v>
      </c>
      <c r="S12" s="16">
        <f>_xll.BDH("AMZN US Equity","IS_OPER_INC","FQ1 2003","FQ1 2003","Currency=USD","Period=FQ","BEST_FPERIOD_OVERRIDE=FQ","FILING_STATUS=OR","SCALING_FORMAT=MLN","FA_ADJUSTED=Adjusted","Sort=A","Dates=H","DateFormat=P","Fill=—","Direction=H","UseDPDF=Y")</f>
        <v>39.225000000000001</v>
      </c>
      <c r="T12" s="16">
        <f>_xll.BDH("AMZN US Equity","IS_OPER_INC","FQ2 2003","FQ2 2003","Currency=USD","Period=FQ","BEST_FPERIOD_OVERRIDE=FQ","FILING_STATUS=OR","SCALING_FORMAT=MLN","FA_ADJUSTED=Adjusted","Sort=A","Dates=H","DateFormat=P","Fill=—","Direction=H","UseDPDF=Y")</f>
        <v>41.823</v>
      </c>
      <c r="U12" s="16">
        <f>_xll.BDH("AMZN US Equity","IS_OPER_INC","FQ3 2003","FQ3 2003","Currency=USD","Period=FQ","BEST_FPERIOD_OVERRIDE=FQ","FILING_STATUS=OR","SCALING_FORMAT=MLN","FA_ADJUSTED=Adjusted","Sort=A","Dates=H","DateFormat=P","Fill=—","Direction=H","UseDPDF=Y")</f>
        <v>51.930999999999997</v>
      </c>
      <c r="V12" s="16">
        <f>_xll.BDH("AMZN US Equity","IS_OPER_INC","FQ4 2003","FQ4 2003","Currency=USD","Period=FQ","BEST_FPERIOD_OVERRIDE=FQ","FILING_STATUS=OR","SCALING_FORMAT=MLN","FA_ADJUSTED=Adjusted","Sort=A","Dates=H","DateFormat=P","Fill=—","Direction=H","UseDPDF=Y")</f>
        <v>137.756</v>
      </c>
      <c r="W12" s="16">
        <f>_xll.BDH("AMZN US Equity","IS_OPER_INC","FQ1 2004","FQ1 2004","Currency=USD","Period=FQ","BEST_FPERIOD_OVERRIDE=FQ","FILING_STATUS=OR","SCALING_FORMAT=MLN","FA_ADJUSTED=Adjusted","Sort=A","Dates=H","DateFormat=P","Fill=—","Direction=H","UseDPDF=Y")</f>
        <v>110.435</v>
      </c>
      <c r="X12" s="16">
        <f>_xll.BDH("AMZN US Equity","IS_OPER_INC","FQ2 2004","FQ2 2004","Currency=USD","Period=FQ","BEST_FPERIOD_OVERRIDE=FQ","FILING_STATUS=OR","SCALING_FORMAT=MLN","FA_ADJUSTED=Adjusted","Sort=A","Dates=H","DateFormat=P","Fill=—","Direction=H","UseDPDF=Y")</f>
        <v>79.123999999999995</v>
      </c>
      <c r="Y12" s="16">
        <f>_xll.BDH("AMZN US Equity","IS_OPER_INC","FQ3 2004","FQ3 2004","Currency=USD","Period=FQ","BEST_FPERIOD_OVERRIDE=FQ","FILING_STATUS=OR","SCALING_FORMAT=MLN","FA_ADJUSTED=Adjusted","Sort=A","Dates=H","DateFormat=P","Fill=—","Direction=H","UseDPDF=Y")</f>
        <v>81.274000000000001</v>
      </c>
      <c r="Z12" s="16">
        <f>_xll.BDH("AMZN US Equity","IS_OPER_INC","FQ4 2004","FQ4 2004","Currency=USD","Period=FQ","BEST_FPERIOD_OVERRIDE=FQ","FILING_STATUS=OR","SCALING_FORMAT=MLN","FA_ADJUSTED=Adjusted","Sort=A","Dates=H","DateFormat=P","Fill=—","Direction=H","UseDPDF=Y")</f>
        <v>169.59200000000001</v>
      </c>
      <c r="AA12" s="16">
        <f>_xll.BDH("AMZN US Equity","IS_OPER_INC","FQ1 2005","FQ1 2005","Currency=USD","Period=FQ","BEST_FPERIOD_OVERRIDE=FQ","FILING_STATUS=OR","SCALING_FORMAT=MLN","FA_ADJUSTED=Adjusted","Sort=A","Dates=H","DateFormat=P","Fill=—","Direction=H","UseDPDF=Y")</f>
        <v>108</v>
      </c>
      <c r="AB12" s="16">
        <f>_xll.BDH("AMZN US Equity","IS_OPER_INC","FQ2 2005","FQ2 2005","Currency=USD","Period=FQ","BEST_FPERIOD_OVERRIDE=FQ","FILING_STATUS=OR","SCALING_FORMAT=MLN","FA_ADJUSTED=Adjusted","Sort=A","Dates=H","DateFormat=P","Fill=—","Direction=H","UseDPDF=Y")</f>
        <v>104</v>
      </c>
      <c r="AC12" s="16">
        <f>_xll.BDH("AMZN US Equity","IS_OPER_INC","FQ3 2005","FQ3 2005","Currency=USD","Period=FQ","BEST_FPERIOD_OVERRIDE=FQ","FILING_STATUS=OR","SCALING_FORMAT=MLN","FA_ADJUSTED=Adjusted","Sort=A","Dates=H","DateFormat=P","Fill=—","Direction=H","UseDPDF=Y")</f>
        <v>55</v>
      </c>
      <c r="AD12" s="16">
        <f>_xll.BDH("AMZN US Equity","IS_OPER_INC","FQ4 2005","FQ4 2005","Currency=USD","Period=FQ","BEST_FPERIOD_OVERRIDE=FQ","FILING_STATUS=OR","SCALING_FORMAT=MLN","FA_ADJUSTED=Adjusted","Sort=A","Dates=H","DateFormat=P","Fill=—","Direction=H","UseDPDF=Y")</f>
        <v>165</v>
      </c>
      <c r="AE12" s="16">
        <f>_xll.BDH("AMZN US Equity","IS_OPER_INC","FQ1 2006","FQ1 2006","Currency=USD","Period=FQ","BEST_FPERIOD_OVERRIDE=FQ","FILING_STATUS=OR","SCALING_FORMAT=MLN","FA_ADJUSTED=Adjusted","Sort=A","Dates=H","DateFormat=P","Fill=—","Direction=H","UseDPDF=Y")</f>
        <v>106</v>
      </c>
      <c r="AF12" s="16">
        <f>_xll.BDH("AMZN US Equity","IS_OPER_INC","FQ2 2006","FQ2 2006","Currency=USD","Period=FQ","BEST_FPERIOD_OVERRIDE=FQ","FILING_STATUS=OR","SCALING_FORMAT=MLN","FA_ADJUSTED=Adjusted","Sort=A","Dates=H","DateFormat=P","Fill=—","Direction=H","UseDPDF=Y")</f>
        <v>47</v>
      </c>
      <c r="AG12" s="16">
        <f>_xll.BDH("AMZN US Equity","IS_OPER_INC","FQ3 2006","FQ3 2006","Currency=USD","Period=FQ","BEST_FPERIOD_OVERRIDE=FQ","FILING_STATUS=OR","SCALING_FORMAT=MLN","FA_ADJUSTED=Adjusted","Sort=A","Dates=H","DateFormat=P","Fill=—","Direction=H","UseDPDF=Y")</f>
        <v>40</v>
      </c>
      <c r="AH12" s="16">
        <f>_xll.BDH("AMZN US Equity","IS_OPER_INC","FQ4 2006","FQ4 2006","Currency=USD","Period=FQ","BEST_FPERIOD_OVERRIDE=FQ","FILING_STATUS=OR","SCALING_FORMAT=MLN","FA_ADJUSTED=Adjusted","Sort=A","Dates=H","DateFormat=P","Fill=—","Direction=H","UseDPDF=Y")</f>
        <v>196</v>
      </c>
      <c r="AI12" s="16">
        <f>_xll.BDH("AMZN US Equity","IS_OPER_INC","FQ1 2007","FQ1 2007","Currency=USD","Period=FQ","BEST_FPERIOD_OVERRIDE=FQ","FILING_STATUS=OR","SCALING_FORMAT=MLN","FA_ADJUSTED=Adjusted","Sort=A","Dates=H","DateFormat=P","Fill=—","Direction=H","UseDPDF=Y")</f>
        <v>145</v>
      </c>
      <c r="AJ12" s="16">
        <f>_xll.BDH("AMZN US Equity","IS_OPER_INC","FQ2 2007","FQ2 2007","Currency=USD","Period=FQ","BEST_FPERIOD_OVERRIDE=FQ","FILING_STATUS=OR","SCALING_FORMAT=MLN","FA_ADJUSTED=Adjusted","Sort=A","Dates=H","DateFormat=P","Fill=—","Direction=H","UseDPDF=Y")</f>
        <v>116</v>
      </c>
      <c r="AK12" s="16">
        <f>_xll.BDH("AMZN US Equity","IS_OPER_INC","FQ3 2007","FQ3 2007","Currency=USD","Period=FQ","BEST_FPERIOD_OVERRIDE=FQ","FILING_STATUS=OR","SCALING_FORMAT=MLN","FA_ADJUSTED=Adjusted","Sort=A","Dates=H","DateFormat=P","Fill=—","Direction=H","UseDPDF=Y")</f>
        <v>123</v>
      </c>
      <c r="AL12" s="16">
        <f>_xll.BDH("AMZN US Equity","IS_OPER_INC","FQ4 2007","FQ4 2007","Currency=USD","Period=FQ","BEST_FPERIOD_OVERRIDE=FQ","FILING_STATUS=OR","SCALING_FORMAT=MLN","FA_ADJUSTED=Adjusted","Sort=A","Dates=H","DateFormat=P","Fill=—","Direction=H","UseDPDF=Y")</f>
        <v>271</v>
      </c>
      <c r="AM12" s="16">
        <f>_xll.BDH("AMZN US Equity","IS_OPER_INC","FQ1 2008","FQ1 2008","Currency=USD","Period=FQ","BEST_FPERIOD_OVERRIDE=FQ","FILING_STATUS=OR","SCALING_FORMAT=MLN","FA_ADJUSTED=Adjusted","Sort=A","Dates=H","DateFormat=P","Fill=—","Direction=H","UseDPDF=Y")</f>
        <v>198</v>
      </c>
      <c r="AN12" s="16">
        <f>_xll.BDH("AMZN US Equity","IS_OPER_INC","FQ2 2008","FQ2 2008","Currency=USD","Period=FQ","BEST_FPERIOD_OVERRIDE=FQ","FILING_STATUS=OR","SCALING_FORMAT=MLN","FA_ADJUSTED=Adjusted","Sort=A","Dates=H","DateFormat=P","Fill=—","Direction=H","UseDPDF=Y")</f>
        <v>217</v>
      </c>
      <c r="AO12" s="16">
        <f>_xll.BDH("AMZN US Equity","IS_OPER_INC","FQ3 2008","FQ3 2008","Currency=USD","Period=FQ","BEST_FPERIOD_OVERRIDE=FQ","FILING_STATUS=OR","SCALING_FORMAT=MLN","FA_ADJUSTED=Adjusted","Sort=A","Dates=H","DateFormat=P","Fill=—","Direction=H","UseDPDF=Y")</f>
        <v>154</v>
      </c>
      <c r="AP12" s="16">
        <f>_xll.BDH("AMZN US Equity","IS_OPER_INC","FQ4 2008","FQ4 2008","Currency=USD","Period=FQ","BEST_FPERIOD_OVERRIDE=FQ","FILING_STATUS=OR","SCALING_FORMAT=MLN","FA_ADJUSTED=Adjusted","Sort=A","Dates=H","DateFormat=P","Fill=—","Direction=H","UseDPDF=Y")</f>
        <v>272</v>
      </c>
    </row>
    <row r="13" spans="1:42" x14ac:dyDescent="0.25">
      <c r="A13" s="10" t="s">
        <v>100</v>
      </c>
      <c r="B13" s="10" t="s">
        <v>101</v>
      </c>
      <c r="C13" s="13" t="str">
        <f>_xll.BDH("AMZN US Equity","IS_NET_INTEREST_EXPENSE","FQ4 1998","FQ4 1998","Currency=USD","Period=FQ","BEST_FPERIOD_OVERRIDE=FQ","FILING_STATUS=OR","SCALING_FORMAT=MLN","FA_ADJUSTED=Adjusted","Sort=A","Dates=H","DateFormat=P","Fill=—","Direction=H","UseDPDF=Y")</f>
        <v>—</v>
      </c>
      <c r="D13" s="13" t="str">
        <f>_xll.BDH("AMZN US Equity","IS_NET_INTEREST_EXPENSE","FQ1 1999","FQ1 1999","Currency=USD","Period=FQ","BEST_FPERIOD_OVERRIDE=FQ","FILING_STATUS=OR","SCALING_FORMAT=MLN","FA_ADJUSTED=Adjusted","Sort=A","Dates=H","DateFormat=P","Fill=—","Direction=H","UseDPDF=Y")</f>
        <v>—</v>
      </c>
      <c r="E13" s="13" t="str">
        <f>_xll.BDH("AMZN US Equity","IS_NET_INTEREST_EXPENSE","FQ2 1999","FQ2 1999","Currency=USD","Period=FQ","BEST_FPERIOD_OVERRIDE=FQ","FILING_STATUS=OR","SCALING_FORMAT=MLN","FA_ADJUSTED=Adjusted","Sort=A","Dates=H","DateFormat=P","Fill=—","Direction=H","UseDPDF=Y")</f>
        <v>—</v>
      </c>
      <c r="F13" s="13" t="str">
        <f>_xll.BDH("AMZN US Equity","IS_NET_INTEREST_EXPENSE","FQ3 1999","FQ3 1999","Currency=USD","Period=FQ","BEST_FPERIOD_OVERRIDE=FQ","FILING_STATUS=OR","SCALING_FORMAT=MLN","FA_ADJUSTED=Adjusted","Sort=A","Dates=H","DateFormat=P","Fill=—","Direction=H","UseDPDF=Y")</f>
        <v>—</v>
      </c>
      <c r="G13" s="13" t="str">
        <f>_xll.BDH("AMZN US Equity","IS_NET_INTEREST_EXPENSE","FQ4 1999","FQ4 1999","Currency=USD","Period=FQ","BEST_FPERIOD_OVERRIDE=FQ","FILING_STATUS=OR","SCALING_FORMAT=MLN","FA_ADJUSTED=Adjusted","Sort=A","Dates=H","DateFormat=P","Fill=—","Direction=H","UseDPDF=Y")</f>
        <v>—</v>
      </c>
      <c r="H13" s="13" t="str">
        <f>_xll.BDH("AMZN US Equity","IS_NET_INTEREST_EXPENSE","FQ1 2000","FQ1 2000","Currency=USD","Period=FQ","BEST_FPERIOD_OVERRIDE=FQ","FILING_STATUS=OR","SCALING_FORMAT=MLN","FA_ADJUSTED=Adjusted","Sort=A","Dates=H","DateFormat=P","Fill=—","Direction=H","UseDPDF=Y")</f>
        <v>—</v>
      </c>
      <c r="I13" s="13" t="str">
        <f>_xll.BDH("AMZN US Equity","IS_NET_INTEREST_EXPENSE","FQ3 2000","FQ3 2000","Currency=USD","Period=FQ","BEST_FPERIOD_OVERRIDE=FQ","FILING_STATUS=OR","SCALING_FORMAT=MLN","FA_ADJUSTED=Adjusted","Sort=A","Dates=H","DateFormat=P","Fill=—","Direction=H","UseDPDF=Y")</f>
        <v>—</v>
      </c>
      <c r="J13" s="13" t="str">
        <f>_xll.BDH("AMZN US Equity","IS_NET_INTEREST_EXPENSE","FQ4 2000","FQ4 2000","Currency=USD","Period=FQ","BEST_FPERIOD_OVERRIDE=FQ","FILING_STATUS=OR","SCALING_FORMAT=MLN","FA_ADJUSTED=Adjusted","Sort=A","Dates=H","DateFormat=P","Fill=—","Direction=H","UseDPDF=Y")</f>
        <v>—</v>
      </c>
      <c r="K13" s="13" t="str">
        <f>_xll.BDH("AMZN US Equity","IS_NET_INTEREST_EXPENSE","FQ1 2001","FQ1 2001","Currency=USD","Period=FQ","BEST_FPERIOD_OVERRIDE=FQ","FILING_STATUS=OR","SCALING_FORMAT=MLN","FA_ADJUSTED=Adjusted","Sort=A","Dates=H","DateFormat=P","Fill=—","Direction=H","UseDPDF=Y")</f>
        <v>—</v>
      </c>
      <c r="L13" s="13" t="str">
        <f>_xll.BDH("AMZN US Equity","IS_NET_INTEREST_EXPENSE","FQ2 2001","FQ2 2001","Currency=USD","Period=FQ","BEST_FPERIOD_OVERRIDE=FQ","FILING_STATUS=OR","SCALING_FORMAT=MLN","FA_ADJUSTED=Adjusted","Sort=A","Dates=H","DateFormat=P","Fill=—","Direction=H","UseDPDF=Y")</f>
        <v>—</v>
      </c>
      <c r="M13" s="13">
        <f>_xll.BDH("AMZN US Equity","IS_NET_INTEREST_EXPENSE","FQ3 2001","FQ3 2001","Currency=USD","Period=FQ","BEST_FPERIOD_OVERRIDE=FQ","FILING_STATUS=OR","SCALING_FORMAT=MLN","FA_ADJUSTED=Adjusted","Sort=A","Dates=H","DateFormat=P","Fill=—","Direction=H","UseDPDF=Y")</f>
        <v>28.73</v>
      </c>
      <c r="N13" s="13" t="str">
        <f>_xll.BDH("AMZN US Equity","IS_NET_INTEREST_EXPENSE","FQ4 2001","FQ4 2001","Currency=USD","Period=FQ","BEST_FPERIOD_OVERRIDE=FQ","FILING_STATUS=OR","SCALING_FORMAT=MLN","FA_ADJUSTED=Adjusted","Sort=A","Dates=H","DateFormat=P","Fill=—","Direction=H","UseDPDF=Y")</f>
        <v>—</v>
      </c>
      <c r="O13" s="13" t="str">
        <f>_xll.BDH("AMZN US Equity","IS_NET_INTEREST_EXPENSE","FQ1 2002","FQ1 2002","Currency=USD","Period=FQ","BEST_FPERIOD_OVERRIDE=FQ","FILING_STATUS=OR","SCALING_FORMAT=MLN","FA_ADJUSTED=Adjusted","Sort=A","Dates=H","DateFormat=P","Fill=—","Direction=H","UseDPDF=Y")</f>
        <v>—</v>
      </c>
      <c r="P13" s="13" t="str">
        <f>_xll.BDH("AMZN US Equity","IS_NET_INTEREST_EXPENSE","FQ2 2002","FQ2 2002","Currency=USD","Period=FQ","BEST_FPERIOD_OVERRIDE=FQ","FILING_STATUS=OR","SCALING_FORMAT=MLN","FA_ADJUSTED=Adjusted","Sort=A","Dates=H","DateFormat=P","Fill=—","Direction=H","UseDPDF=Y")</f>
        <v>—</v>
      </c>
      <c r="Q13" s="13" t="str">
        <f>_xll.BDH("AMZN US Equity","IS_NET_INTEREST_EXPENSE","FQ3 2002","FQ3 2002","Currency=USD","Period=FQ","BEST_FPERIOD_OVERRIDE=FQ","FILING_STATUS=OR","SCALING_FORMAT=MLN","FA_ADJUSTED=Adjusted","Sort=A","Dates=H","DateFormat=P","Fill=—","Direction=H","UseDPDF=Y")</f>
        <v>—</v>
      </c>
      <c r="R13" s="13" t="str">
        <f>_xll.BDH("AMZN US Equity","IS_NET_INTEREST_EXPENSE","FQ4 2002","FQ4 2002","Currency=USD","Period=FQ","BEST_FPERIOD_OVERRIDE=FQ","FILING_STATUS=OR","SCALING_FORMAT=MLN","FA_ADJUSTED=Adjusted","Sort=A","Dates=H","DateFormat=P","Fill=—","Direction=H","UseDPDF=Y")</f>
        <v>—</v>
      </c>
      <c r="S13" s="13" t="str">
        <f>_xll.BDH("AMZN US Equity","IS_NET_INTEREST_EXPENSE","FQ1 2003","FQ1 2003","Currency=USD","Period=FQ","BEST_FPERIOD_OVERRIDE=FQ","FILING_STATUS=OR","SCALING_FORMAT=MLN","FA_ADJUSTED=Adjusted","Sort=A","Dates=H","DateFormat=P","Fill=—","Direction=H","UseDPDF=Y")</f>
        <v>—</v>
      </c>
      <c r="T13" s="13" t="str">
        <f>_xll.BDH("AMZN US Equity","IS_NET_INTEREST_EXPENSE","FQ2 2003","FQ2 2003","Currency=USD","Period=FQ","BEST_FPERIOD_OVERRIDE=FQ","FILING_STATUS=OR","SCALING_FORMAT=MLN","FA_ADJUSTED=Adjusted","Sort=A","Dates=H","DateFormat=P","Fill=—","Direction=H","UseDPDF=Y")</f>
        <v>—</v>
      </c>
      <c r="U13" s="13" t="str">
        <f>_xll.BDH("AMZN US Equity","IS_NET_INTEREST_EXPENSE","FQ3 2003","FQ3 2003","Currency=USD","Period=FQ","BEST_FPERIOD_OVERRIDE=FQ","FILING_STATUS=OR","SCALING_FORMAT=MLN","FA_ADJUSTED=Adjusted","Sort=A","Dates=H","DateFormat=P","Fill=—","Direction=H","UseDPDF=Y")</f>
        <v>—</v>
      </c>
      <c r="V13" s="13" t="str">
        <f>_xll.BDH("AMZN US Equity","IS_NET_INTEREST_EXPENSE","FQ4 2003","FQ4 2003","Currency=USD","Period=FQ","BEST_FPERIOD_OVERRIDE=FQ","FILING_STATUS=OR","SCALING_FORMAT=MLN","FA_ADJUSTED=Adjusted","Sort=A","Dates=H","DateFormat=P","Fill=—","Direction=H","UseDPDF=Y")</f>
        <v>—</v>
      </c>
      <c r="W13" s="13" t="str">
        <f>_xll.BDH("AMZN US Equity","IS_NET_INTEREST_EXPENSE","FQ1 2004","FQ1 2004","Currency=USD","Period=FQ","BEST_FPERIOD_OVERRIDE=FQ","FILING_STATUS=OR","SCALING_FORMAT=MLN","FA_ADJUSTED=Adjusted","Sort=A","Dates=H","DateFormat=P","Fill=—","Direction=H","UseDPDF=Y")</f>
        <v>—</v>
      </c>
      <c r="X13" s="13" t="str">
        <f>_xll.BDH("AMZN US Equity","IS_NET_INTEREST_EXPENSE","FQ2 2004","FQ2 2004","Currency=USD","Period=FQ","BEST_FPERIOD_OVERRIDE=FQ","FILING_STATUS=OR","SCALING_FORMAT=MLN","FA_ADJUSTED=Adjusted","Sort=A","Dates=H","DateFormat=P","Fill=—","Direction=H","UseDPDF=Y")</f>
        <v>—</v>
      </c>
      <c r="Y13" s="13" t="str">
        <f>_xll.BDH("AMZN US Equity","IS_NET_INTEREST_EXPENSE","FQ3 2004","FQ3 2004","Currency=USD","Period=FQ","BEST_FPERIOD_OVERRIDE=FQ","FILING_STATUS=OR","SCALING_FORMAT=MLN","FA_ADJUSTED=Adjusted","Sort=A","Dates=H","DateFormat=P","Fill=—","Direction=H","UseDPDF=Y")</f>
        <v>—</v>
      </c>
      <c r="Z13" s="13" t="str">
        <f>_xll.BDH("AMZN US Equity","IS_NET_INTEREST_EXPENSE","FQ4 2004","FQ4 2004","Currency=USD","Period=FQ","BEST_FPERIOD_OVERRIDE=FQ","FILING_STATUS=OR","SCALING_FORMAT=MLN","FA_ADJUSTED=Adjusted","Sort=A","Dates=H","DateFormat=P","Fill=—","Direction=H","UseDPDF=Y")</f>
        <v>—</v>
      </c>
      <c r="AA13" s="13">
        <f>_xll.BDH("AMZN US Equity","IS_NET_INTEREST_EXPENSE","FQ1 2005","FQ1 2005","Currency=USD","Period=FQ","BEST_FPERIOD_OVERRIDE=FQ","FILING_STATUS=OR","SCALING_FORMAT=MLN","FA_ADJUSTED=Adjusted","Sort=A","Dates=H","DateFormat=P","Fill=—","Direction=H","UseDPDF=Y")</f>
        <v>17</v>
      </c>
      <c r="AB13" s="13">
        <f>_xll.BDH("AMZN US Equity","IS_NET_INTEREST_EXPENSE","FQ2 2005","FQ2 2005","Currency=USD","Period=FQ","BEST_FPERIOD_OVERRIDE=FQ","FILING_STATUS=OR","SCALING_FORMAT=MLN","FA_ADJUSTED=Adjusted","Sort=A","Dates=H","DateFormat=P","Fill=—","Direction=H","UseDPDF=Y")</f>
        <v>13</v>
      </c>
      <c r="AC13" s="13">
        <f>_xll.BDH("AMZN US Equity","IS_NET_INTEREST_EXPENSE","FQ3 2005","FQ3 2005","Currency=USD","Period=FQ","BEST_FPERIOD_OVERRIDE=FQ","FILING_STATUS=OR","SCALING_FORMAT=MLN","FA_ADJUSTED=Adjusted","Sort=A","Dates=H","DateFormat=P","Fill=—","Direction=H","UseDPDF=Y")</f>
        <v>10</v>
      </c>
      <c r="AD13" s="13">
        <f>_xll.BDH("AMZN US Equity","IS_NET_INTEREST_EXPENSE","FQ4 2005","FQ4 2005","Currency=USD","Period=FQ","BEST_FPERIOD_OVERRIDE=FQ","FILING_STATUS=OR","SCALING_FORMAT=MLN","FA_ADJUSTED=Adjusted","Sort=A","Dates=H","DateFormat=P","Fill=—","Direction=H","UseDPDF=Y")</f>
        <v>8</v>
      </c>
      <c r="AE13" s="13" t="str">
        <f>_xll.BDH("AMZN US Equity","IS_NET_INTEREST_EXPENSE","FQ1 2006","FQ1 2006","Currency=USD","Period=FQ","BEST_FPERIOD_OVERRIDE=FQ","FILING_STATUS=OR","SCALING_FORMAT=MLN","FA_ADJUSTED=Adjusted","Sort=A","Dates=H","DateFormat=P","Fill=—","Direction=H","UseDPDF=Y")</f>
        <v>—</v>
      </c>
      <c r="AF13" s="13" t="str">
        <f>_xll.BDH("AMZN US Equity","IS_NET_INTEREST_EXPENSE","FQ2 2006","FQ2 2006","Currency=USD","Period=FQ","BEST_FPERIOD_OVERRIDE=FQ","FILING_STATUS=OR","SCALING_FORMAT=MLN","FA_ADJUSTED=Adjusted","Sort=A","Dates=H","DateFormat=P","Fill=—","Direction=H","UseDPDF=Y")</f>
        <v>—</v>
      </c>
      <c r="AG13" s="13">
        <f>_xll.BDH("AMZN US Equity","IS_NET_INTEREST_EXPENSE","FQ3 2006","FQ3 2006","Currency=USD","Period=FQ","BEST_FPERIOD_OVERRIDE=FQ","FILING_STATUS=OR","SCALING_FORMAT=MLN","FA_ADJUSTED=Adjusted","Sort=A","Dates=H","DateFormat=P","Fill=—","Direction=H","UseDPDF=Y")</f>
        <v>7</v>
      </c>
      <c r="AH13" s="13" t="str">
        <f>_xll.BDH("AMZN US Equity","IS_NET_INTEREST_EXPENSE","FQ4 2006","FQ4 2006","Currency=USD","Period=FQ","BEST_FPERIOD_OVERRIDE=FQ","FILING_STATUS=OR","SCALING_FORMAT=MLN","FA_ADJUSTED=Adjusted","Sort=A","Dates=H","DateFormat=P","Fill=—","Direction=H","UseDPDF=Y")</f>
        <v>—</v>
      </c>
      <c r="AI13" s="13">
        <f>_xll.BDH("AMZN US Equity","IS_NET_INTEREST_EXPENSE","FQ1 2007","FQ1 2007","Currency=USD","Period=FQ","BEST_FPERIOD_OVERRIDE=FQ","FILING_STATUS=OR","SCALING_FORMAT=MLN","FA_ADJUSTED=Adjusted","Sort=A","Dates=H","DateFormat=P","Fill=—","Direction=H","UseDPDF=Y")</f>
        <v>-1</v>
      </c>
      <c r="AJ13" s="13" t="str">
        <f>_xll.BDH("AMZN US Equity","IS_NET_INTEREST_EXPENSE","FQ2 2007","FQ2 2007","Currency=USD","Period=FQ","BEST_FPERIOD_OVERRIDE=FQ","FILING_STATUS=OR","SCALING_FORMAT=MLN","FA_ADJUSTED=Adjusted","Sort=A","Dates=H","DateFormat=P","Fill=—","Direction=H","UseDPDF=Y")</f>
        <v>—</v>
      </c>
      <c r="AK13" s="13" t="str">
        <f>_xll.BDH("AMZN US Equity","IS_NET_INTEREST_EXPENSE","FQ3 2007","FQ3 2007","Currency=USD","Period=FQ","BEST_FPERIOD_OVERRIDE=FQ","FILING_STATUS=OR","SCALING_FORMAT=MLN","FA_ADJUSTED=Adjusted","Sort=A","Dates=H","DateFormat=P","Fill=—","Direction=H","UseDPDF=Y")</f>
        <v>—</v>
      </c>
      <c r="AL13" s="13">
        <f>_xll.BDH("AMZN US Equity","IS_NET_INTEREST_EXPENSE","FQ4 2007","FQ4 2007","Currency=USD","Period=FQ","BEST_FPERIOD_OVERRIDE=FQ","FILING_STATUS=OR","SCALING_FORMAT=MLN","FA_ADJUSTED=Adjusted","Sort=A","Dates=H","DateFormat=P","Fill=—","Direction=H","UseDPDF=Y")</f>
        <v>-7</v>
      </c>
      <c r="AM13" s="13" t="str">
        <f>_xll.BDH("AMZN US Equity","IS_NET_INTEREST_EXPENSE","FQ1 2008","FQ1 2008","Currency=USD","Period=FQ","BEST_FPERIOD_OVERRIDE=FQ","FILING_STATUS=OR","SCALING_FORMAT=MLN","FA_ADJUSTED=Adjusted","Sort=A","Dates=H","DateFormat=P","Fill=—","Direction=H","UseDPDF=Y")</f>
        <v>—</v>
      </c>
      <c r="AN13" s="13" t="str">
        <f>_xll.BDH("AMZN US Equity","IS_NET_INTEREST_EXPENSE","FQ2 2008","FQ2 2008","Currency=USD","Period=FQ","BEST_FPERIOD_OVERRIDE=FQ","FILING_STATUS=OR","SCALING_FORMAT=MLN","FA_ADJUSTED=Adjusted","Sort=A","Dates=H","DateFormat=P","Fill=—","Direction=H","UseDPDF=Y")</f>
        <v>—</v>
      </c>
      <c r="AO13" s="13" t="str">
        <f>_xll.BDH("AMZN US Equity","IS_NET_INTEREST_EXPENSE","FQ3 2008","FQ3 2008","Currency=USD","Period=FQ","BEST_FPERIOD_OVERRIDE=FQ","FILING_STATUS=OR","SCALING_FORMAT=MLN","FA_ADJUSTED=Adjusted","Sort=A","Dates=H","DateFormat=P","Fill=—","Direction=H","UseDPDF=Y")</f>
        <v>—</v>
      </c>
      <c r="AP13" s="13">
        <f>_xll.BDH("AMZN US Equity","IS_NET_INTEREST_EXPENSE","FQ4 2008","FQ4 2008","Currency=USD","Period=FQ","BEST_FPERIOD_OVERRIDE=FQ","FILING_STATUS=OR","SCALING_FORMAT=MLN","FA_ADJUSTED=Adjusted","Sort=A","Dates=H","DateFormat=P","Fill=—","Direction=H","UseDPDF=Y")</f>
        <v>-4</v>
      </c>
    </row>
    <row r="14" spans="1:42" x14ac:dyDescent="0.25">
      <c r="A14" s="11" t="s">
        <v>102</v>
      </c>
      <c r="B14" s="11" t="s">
        <v>103</v>
      </c>
      <c r="C14" s="18">
        <f>_xll.BDH("AMZN US Equity","IS_INT_EXPENSE","FQ4 1998","FQ4 1998","Currency=USD","Period=FQ","BEST_FPERIOD_OVERRIDE=FQ","FILING_STATUS=OR","SCALING_FORMAT=MLN","FA_ADJUSTED=Adjusted","Sort=A","Dates=H","DateFormat=P","Fill=—","Direction=H","UseDPDF=Y")</f>
        <v>8.6219999999999999</v>
      </c>
      <c r="D14" s="18">
        <f>_xll.BDH("AMZN US Equity","IS_INT_EXPENSE","FQ1 1999","FQ1 1999","Currency=USD","Period=FQ","BEST_FPERIOD_OVERRIDE=FQ","FILING_STATUS=OR","SCALING_FORMAT=MLN","FA_ADJUSTED=Adjusted","Sort=A","Dates=H","DateFormat=P","Fill=—","Direction=H","UseDPDF=Y")</f>
        <v>16.687999999999999</v>
      </c>
      <c r="E14" s="18">
        <f>_xll.BDH("AMZN US Equity","IS_INT_EXPENSE","FQ2 1999","FQ2 1999","Currency=USD","Period=FQ","BEST_FPERIOD_OVERRIDE=FQ","FILING_STATUS=OR","SCALING_FORMAT=MLN","FA_ADJUSTED=Adjusted","Sort=A","Dates=H","DateFormat=P","Fill=—","Direction=H","UseDPDF=Y")</f>
        <v>28.434999999999999</v>
      </c>
      <c r="F14" s="18">
        <f>_xll.BDH("AMZN US Equity","IS_INT_EXPENSE","FQ3 1999","FQ3 1999","Currency=USD","Period=FQ","BEST_FPERIOD_OVERRIDE=FQ","FILING_STATUS=OR","SCALING_FORMAT=MLN","FA_ADJUSTED=Adjusted","Sort=A","Dates=H","DateFormat=P","Fill=—","Direction=H","UseDPDF=Y")</f>
        <v>21.47</v>
      </c>
      <c r="G14" s="18">
        <f>_xll.BDH("AMZN US Equity","IS_INT_EXPENSE","FQ4 1999","FQ4 1999","Currency=USD","Period=FQ","BEST_FPERIOD_OVERRIDE=FQ","FILING_STATUS=OR","SCALING_FORMAT=MLN","FA_ADJUSTED=Adjusted","Sort=A","Dates=H","DateFormat=P","Fill=—","Direction=H","UseDPDF=Y")</f>
        <v>17.972999999999999</v>
      </c>
      <c r="H14" s="18">
        <f>_xll.BDH("AMZN US Equity","IS_INT_EXPENSE","FQ1 2000","FQ1 2000","Currency=USD","Period=FQ","BEST_FPERIOD_OVERRIDE=FQ","FILING_STATUS=OR","SCALING_FORMAT=MLN","FA_ADJUSTED=Adjusted","Sort=A","Dates=H","DateFormat=P","Fill=—","Direction=H","UseDPDF=Y")</f>
        <v>27.620999999999999</v>
      </c>
      <c r="I14" s="18">
        <f>_xll.BDH("AMZN US Equity","IS_INT_EXPENSE","FQ3 2000","FQ3 2000","Currency=USD","Period=FQ","BEST_FPERIOD_OVERRIDE=FQ","FILING_STATUS=OR","SCALING_FORMAT=MLN","FA_ADJUSTED=Adjusted","Sort=A","Dates=H","DateFormat=P","Fill=—","Direction=H","UseDPDF=Y")</f>
        <v>33.808999999999997</v>
      </c>
      <c r="J14" s="18">
        <f>_xll.BDH("AMZN US Equity","IS_INT_EXPENSE","FQ4 2000","FQ4 2000","Currency=USD","Period=FQ","BEST_FPERIOD_OVERRIDE=FQ","FILING_STATUS=OR","SCALING_FORMAT=MLN","FA_ADJUSTED=Adjusted","Sort=A","Dates=H","DateFormat=P","Fill=—","Direction=H","UseDPDF=Y")</f>
        <v>36.094000000000001</v>
      </c>
      <c r="K14" s="18">
        <f>_xll.BDH("AMZN US Equity","IS_INT_EXPENSE","FQ1 2001","FQ1 2001","Currency=USD","Period=FQ","BEST_FPERIOD_OVERRIDE=FQ","FILING_STATUS=OR","SCALING_FORMAT=MLN","FA_ADJUSTED=Adjusted","Sort=A","Dates=H","DateFormat=P","Fill=—","Direction=H","UseDPDF=Y")</f>
        <v>33.747999999999998</v>
      </c>
      <c r="L14" s="18">
        <f>_xll.BDH("AMZN US Equity","IS_INT_EXPENSE","FQ2 2001","FQ2 2001","Currency=USD","Period=FQ","BEST_FPERIOD_OVERRIDE=FQ","FILING_STATUS=OR","SCALING_FORMAT=MLN","FA_ADJUSTED=Adjusted","Sort=A","Dates=H","DateFormat=P","Fill=—","Direction=H","UseDPDF=Y")</f>
        <v>35.148000000000003</v>
      </c>
      <c r="M14" s="18">
        <f>_xll.BDH("AMZN US Equity","IS_INT_EXPENSE","FQ3 2001","FQ3 2001","Currency=USD","Period=FQ","BEST_FPERIOD_OVERRIDE=FQ","FILING_STATUS=OR","SCALING_FORMAT=MLN","FA_ADJUSTED=Adjusted","Sort=A","Dates=H","DateFormat=P","Fill=—","Direction=H","UseDPDF=Y")</f>
        <v>35.045999999999999</v>
      </c>
      <c r="N14" s="18">
        <f>_xll.BDH("AMZN US Equity","IS_INT_EXPENSE","FQ4 2001","FQ4 2001","Currency=USD","Period=FQ","BEST_FPERIOD_OVERRIDE=FQ","FILING_STATUS=OR","SCALING_FORMAT=MLN","FA_ADJUSTED=Adjusted","Sort=A","Dates=H","DateFormat=P","Fill=—","Direction=H","UseDPDF=Y")</f>
        <v>35.29</v>
      </c>
      <c r="O14" s="18">
        <f>_xll.BDH("AMZN US Equity","IS_INT_EXPENSE","FQ1 2002","FQ1 2002","Currency=USD","Period=FQ","BEST_FPERIOD_OVERRIDE=FQ","FILING_STATUS=OR","SCALING_FORMAT=MLN","FA_ADJUSTED=Adjusted","Sort=A","Dates=H","DateFormat=P","Fill=—","Direction=H","UseDPDF=Y")</f>
        <v>35.244</v>
      </c>
      <c r="P14" s="18">
        <f>_xll.BDH("AMZN US Equity","IS_INT_EXPENSE","FQ2 2002","FQ2 2002","Currency=USD","Period=FQ","BEST_FPERIOD_OVERRIDE=FQ","FILING_STATUS=OR","SCALING_FORMAT=MLN","FA_ADJUSTED=Adjusted","Sort=A","Dates=H","DateFormat=P","Fill=—","Direction=H","UseDPDF=Y")</f>
        <v>35.651000000000003</v>
      </c>
      <c r="Q14" s="18">
        <f>_xll.BDH("AMZN US Equity","IS_INT_EXPENSE","FQ3 2002","FQ3 2002","Currency=USD","Period=FQ","BEST_FPERIOD_OVERRIDE=FQ","FILING_STATUS=OR","SCALING_FORMAT=MLN","FA_ADJUSTED=Adjusted","Sort=A","Dates=H","DateFormat=P","Fill=—","Direction=H","UseDPDF=Y")</f>
        <v>35.921999999999997</v>
      </c>
      <c r="R14" s="18">
        <f>_xll.BDH("AMZN US Equity","IS_INT_EXPENSE","FQ4 2002","FQ4 2002","Currency=USD","Period=FQ","BEST_FPERIOD_OVERRIDE=FQ","FILING_STATUS=OR","SCALING_FORMAT=MLN","FA_ADJUSTED=Adjusted","Sort=A","Dates=H","DateFormat=P","Fill=—","Direction=H","UseDPDF=Y")</f>
        <v>36.107999999999997</v>
      </c>
      <c r="S14" s="18">
        <f>_xll.BDH("AMZN US Equity","IS_INT_EXPENSE","FQ1 2003","FQ1 2003","Currency=USD","Period=FQ","BEST_FPERIOD_OVERRIDE=FQ","FILING_STATUS=OR","SCALING_FORMAT=MLN","FA_ADJUSTED=Adjusted","Sort=A","Dates=H","DateFormat=P","Fill=—","Direction=H","UseDPDF=Y")</f>
        <v>36.511000000000003</v>
      </c>
      <c r="T14" s="18">
        <f>_xll.BDH("AMZN US Equity","IS_INT_EXPENSE","FQ2 2003","FQ2 2003","Currency=USD","Period=FQ","BEST_FPERIOD_OVERRIDE=FQ","FILING_STATUS=OR","SCALING_FORMAT=MLN","FA_ADJUSTED=Adjusted","Sort=A","Dates=H","DateFormat=P","Fill=—","Direction=H","UseDPDF=Y")</f>
        <v>34.366999999999997</v>
      </c>
      <c r="U14" s="18">
        <f>_xll.BDH("AMZN US Equity","IS_INT_EXPENSE","FQ3 2003","FQ3 2003","Currency=USD","Period=FQ","BEST_FPERIOD_OVERRIDE=FQ","FILING_STATUS=OR","SCALING_FORMAT=MLN","FA_ADJUSTED=Adjusted","Sort=A","Dates=H","DateFormat=P","Fill=—","Direction=H","UseDPDF=Y")</f>
        <v>29.802</v>
      </c>
      <c r="V14" s="18">
        <f>_xll.BDH("AMZN US Equity","IS_INT_EXPENSE","FQ4 2003","FQ4 2003","Currency=USD","Period=FQ","BEST_FPERIOD_OVERRIDE=FQ","FILING_STATUS=OR","SCALING_FORMAT=MLN","FA_ADJUSTED=Adjusted","Sort=A","Dates=H","DateFormat=P","Fill=—","Direction=H","UseDPDF=Y")</f>
        <v>29.298999999999999</v>
      </c>
      <c r="W14" s="18">
        <f>_xll.BDH("AMZN US Equity","IS_INT_EXPENSE","FQ1 2004","FQ1 2004","Currency=USD","Period=FQ","BEST_FPERIOD_OVERRIDE=FQ","FILING_STATUS=OR","SCALING_FORMAT=MLN","FA_ADJUSTED=Adjusted","Sort=A","Dates=H","DateFormat=P","Fill=—","Direction=H","UseDPDF=Y")</f>
        <v>27.731000000000002</v>
      </c>
      <c r="X14" s="18">
        <f>_xll.BDH("AMZN US Equity","IS_INT_EXPENSE","FQ2 2004","FQ2 2004","Currency=USD","Period=FQ","BEST_FPERIOD_OVERRIDE=FQ","FILING_STATUS=OR","SCALING_FORMAT=MLN","FA_ADJUSTED=Adjusted","Sort=A","Dates=H","DateFormat=P","Fill=—","Direction=H","UseDPDF=Y")</f>
        <v>26.055</v>
      </c>
      <c r="Y14" s="18">
        <f>_xll.BDH("AMZN US Equity","IS_INT_EXPENSE","FQ3 2004","FQ3 2004","Currency=USD","Period=FQ","BEST_FPERIOD_OVERRIDE=FQ","FILING_STATUS=OR","SCALING_FORMAT=MLN","FA_ADJUSTED=Adjusted","Sort=A","Dates=H","DateFormat=P","Fill=—","Direction=H","UseDPDF=Y")</f>
        <v>26.306999999999999</v>
      </c>
      <c r="Z14" s="18">
        <f>_xll.BDH("AMZN US Equity","IS_INT_EXPENSE","FQ4 2004","FQ4 2004","Currency=USD","Period=FQ","BEST_FPERIOD_OVERRIDE=FQ","FILING_STATUS=OR","SCALING_FORMAT=MLN","FA_ADJUSTED=Adjusted","Sort=A","Dates=H","DateFormat=P","Fill=—","Direction=H","UseDPDF=Y")</f>
        <v>27.134</v>
      </c>
      <c r="AA14" s="18">
        <f>_xll.BDH("AMZN US Equity","IS_INT_EXPENSE","FQ1 2005","FQ1 2005","Currency=USD","Period=FQ","BEST_FPERIOD_OVERRIDE=FQ","FILING_STATUS=OR","SCALING_FORMAT=MLN","FA_ADJUSTED=Adjusted","Sort=A","Dates=H","DateFormat=P","Fill=—","Direction=H","UseDPDF=Y")</f>
        <v>26</v>
      </c>
      <c r="AB14" s="18">
        <f>_xll.BDH("AMZN US Equity","IS_INT_EXPENSE","FQ2 2005","FQ2 2005","Currency=USD","Period=FQ","BEST_FPERIOD_OVERRIDE=FQ","FILING_STATUS=OR","SCALING_FORMAT=MLN","FA_ADJUSTED=Adjusted","Sort=A","Dates=H","DateFormat=P","Fill=—","Direction=H","UseDPDF=Y")</f>
        <v>22</v>
      </c>
      <c r="AC14" s="18">
        <f>_xll.BDH("AMZN US Equity","IS_INT_EXPENSE","FQ3 2005","FQ3 2005","Currency=USD","Period=FQ","BEST_FPERIOD_OVERRIDE=FQ","FILING_STATUS=OR","SCALING_FORMAT=MLN","FA_ADJUSTED=Adjusted","Sort=A","Dates=H","DateFormat=P","Fill=—","Direction=H","UseDPDF=Y")</f>
        <v>22</v>
      </c>
      <c r="AD14" s="18">
        <f>_xll.BDH("AMZN US Equity","IS_INT_EXPENSE","FQ4 2005","FQ4 2005","Currency=USD","Period=FQ","BEST_FPERIOD_OVERRIDE=FQ","FILING_STATUS=OR","SCALING_FORMAT=MLN","FA_ADJUSTED=Adjusted","Sort=A","Dates=H","DateFormat=P","Fill=—","Direction=H","UseDPDF=Y")</f>
        <v>22</v>
      </c>
      <c r="AE14" s="18">
        <f>_xll.BDH("AMZN US Equity","IS_INT_EXPENSE","FQ1 2006","FQ1 2006","Currency=USD","Period=FQ","BEST_FPERIOD_OVERRIDE=FQ","FILING_STATUS=OR","SCALING_FORMAT=MLN","FA_ADJUSTED=Adjusted","Sort=A","Dates=H","DateFormat=P","Fill=—","Direction=H","UseDPDF=Y")</f>
        <v>21</v>
      </c>
      <c r="AF14" s="18">
        <f>_xll.BDH("AMZN US Equity","IS_INT_EXPENSE","FQ2 2006","FQ2 2006","Currency=USD","Period=FQ","BEST_FPERIOD_OVERRIDE=FQ","FILING_STATUS=OR","SCALING_FORMAT=MLN","FA_ADJUSTED=Adjusted","Sort=A","Dates=H","DateFormat=P","Fill=—","Direction=H","UseDPDF=Y")</f>
        <v>19</v>
      </c>
      <c r="AG14" s="18">
        <f>_xll.BDH("AMZN US Equity","IS_INT_EXPENSE","FQ3 2006","FQ3 2006","Currency=USD","Period=FQ","BEST_FPERIOD_OVERRIDE=FQ","FILING_STATUS=OR","SCALING_FORMAT=MLN","FA_ADJUSTED=Adjusted","Sort=A","Dates=H","DateFormat=P","Fill=—","Direction=H","UseDPDF=Y")</f>
        <v>21</v>
      </c>
      <c r="AH14" s="18">
        <f>_xll.BDH("AMZN US Equity","IS_INT_EXPENSE","FQ4 2006","FQ4 2006","Currency=USD","Period=FQ","BEST_FPERIOD_OVERRIDE=FQ","FILING_STATUS=OR","SCALING_FORMAT=MLN","FA_ADJUSTED=Adjusted","Sort=A","Dates=H","DateFormat=P","Fill=—","Direction=H","UseDPDF=Y")</f>
        <v>17</v>
      </c>
      <c r="AI14" s="18">
        <f>_xll.BDH("AMZN US Equity","IS_INT_EXPENSE","FQ1 2007","FQ1 2007","Currency=USD","Period=FQ","BEST_FPERIOD_OVERRIDE=FQ","FILING_STATUS=OR","SCALING_FORMAT=MLN","FA_ADJUSTED=Adjusted","Sort=A","Dates=H","DateFormat=P","Fill=—","Direction=H","UseDPDF=Y")</f>
        <v>19</v>
      </c>
      <c r="AJ14" s="18">
        <f>_xll.BDH("AMZN US Equity","IS_INT_EXPENSE","FQ2 2007","FQ2 2007","Currency=USD","Period=FQ","BEST_FPERIOD_OVERRIDE=FQ","FILING_STATUS=OR","SCALING_FORMAT=MLN","FA_ADJUSTED=Adjusted","Sort=A","Dates=H","DateFormat=P","Fill=—","Direction=H","UseDPDF=Y")</f>
        <v>19</v>
      </c>
      <c r="AK14" s="18">
        <f>_xll.BDH("AMZN US Equity","IS_INT_EXPENSE","FQ3 2007","FQ3 2007","Currency=USD","Period=FQ","BEST_FPERIOD_OVERRIDE=FQ","FILING_STATUS=OR","SCALING_FORMAT=MLN","FA_ADJUSTED=Adjusted","Sort=A","Dates=H","DateFormat=P","Fill=—","Direction=H","UseDPDF=Y")</f>
        <v>19</v>
      </c>
      <c r="AL14" s="18">
        <f>_xll.BDH("AMZN US Equity","IS_INT_EXPENSE","FQ4 2007","FQ4 2007","Currency=USD","Period=FQ","BEST_FPERIOD_OVERRIDE=FQ","FILING_STATUS=OR","SCALING_FORMAT=MLN","FA_ADJUSTED=Adjusted","Sort=A","Dates=H","DateFormat=P","Fill=—","Direction=H","UseDPDF=Y")</f>
        <v>21</v>
      </c>
      <c r="AM14" s="18">
        <f>_xll.BDH("AMZN US Equity","IS_INT_EXPENSE","FQ1 2008","FQ1 2008","Currency=USD","Period=FQ","BEST_FPERIOD_OVERRIDE=FQ","FILING_STATUS=OR","SCALING_FORMAT=MLN","FA_ADJUSTED=Adjusted","Sort=A","Dates=H","DateFormat=P","Fill=—","Direction=H","UseDPDF=Y")</f>
        <v>22</v>
      </c>
      <c r="AN14" s="18">
        <f>_xll.BDH("AMZN US Equity","IS_INT_EXPENSE","FQ2 2008","FQ2 2008","Currency=USD","Period=FQ","BEST_FPERIOD_OVERRIDE=FQ","FILING_STATUS=OR","SCALING_FORMAT=MLN","FA_ADJUSTED=Adjusted","Sort=A","Dates=H","DateFormat=P","Fill=—","Direction=H","UseDPDF=Y")</f>
        <v>21</v>
      </c>
      <c r="AO14" s="18">
        <f>_xll.BDH("AMZN US Equity","IS_INT_EXPENSE","FQ3 2008","FQ3 2008","Currency=USD","Period=FQ","BEST_FPERIOD_OVERRIDE=FQ","FILING_STATUS=OR","SCALING_FORMAT=MLN","FA_ADJUSTED=Adjusted","Sort=A","Dates=H","DateFormat=P","Fill=—","Direction=H","UseDPDF=Y")</f>
        <v>17</v>
      </c>
      <c r="AP14" s="18">
        <f>_xll.BDH("AMZN US Equity","IS_INT_EXPENSE","FQ4 2008","FQ4 2008","Currency=USD","Period=FQ","BEST_FPERIOD_OVERRIDE=FQ","FILING_STATUS=OR","SCALING_FORMAT=MLN","FA_ADJUSTED=Adjusted","Sort=A","Dates=H","DateFormat=P","Fill=—","Direction=H","UseDPDF=Y")</f>
        <v>12</v>
      </c>
    </row>
    <row r="15" spans="1:42" x14ac:dyDescent="0.25">
      <c r="A15" s="11" t="s">
        <v>104</v>
      </c>
      <c r="B15" s="11" t="s">
        <v>105</v>
      </c>
      <c r="C15" s="18" t="str">
        <f>_xll.BDH("AMZN US Equity","IS_INT_INC","FQ4 1998","FQ4 1998","Currency=USD","Period=FQ","BEST_FPERIOD_OVERRIDE=FQ","FILING_STATUS=OR","SCALING_FORMAT=MLN","FA_ADJUSTED=Adjusted","Sort=A","Dates=H","DateFormat=P","Fill=—","Direction=H","UseDPDF=Y")</f>
        <v>—</v>
      </c>
      <c r="D15" s="18" t="str">
        <f>_xll.BDH("AMZN US Equity","IS_INT_INC","FQ1 1999","FQ1 1999","Currency=USD","Period=FQ","BEST_FPERIOD_OVERRIDE=FQ","FILING_STATUS=OR","SCALING_FORMAT=MLN","FA_ADJUSTED=Adjusted","Sort=A","Dates=H","DateFormat=P","Fill=—","Direction=H","UseDPDF=Y")</f>
        <v>—</v>
      </c>
      <c r="E15" s="18" t="str">
        <f>_xll.BDH("AMZN US Equity","IS_INT_INC","FQ2 1999","FQ2 1999","Currency=USD","Period=FQ","BEST_FPERIOD_OVERRIDE=FQ","FILING_STATUS=OR","SCALING_FORMAT=MLN","FA_ADJUSTED=Adjusted","Sort=A","Dates=H","DateFormat=P","Fill=—","Direction=H","UseDPDF=Y")</f>
        <v>—</v>
      </c>
      <c r="F15" s="18" t="str">
        <f>_xll.BDH("AMZN US Equity","IS_INT_INC","FQ3 1999","FQ3 1999","Currency=USD","Period=FQ","BEST_FPERIOD_OVERRIDE=FQ","FILING_STATUS=OR","SCALING_FORMAT=MLN","FA_ADJUSTED=Adjusted","Sort=A","Dates=H","DateFormat=P","Fill=—","Direction=H","UseDPDF=Y")</f>
        <v>—</v>
      </c>
      <c r="G15" s="18" t="str">
        <f>_xll.BDH("AMZN US Equity","IS_INT_INC","FQ4 1999","FQ4 1999","Currency=USD","Period=FQ","BEST_FPERIOD_OVERRIDE=FQ","FILING_STATUS=OR","SCALING_FORMAT=MLN","FA_ADJUSTED=Adjusted","Sort=A","Dates=H","DateFormat=P","Fill=—","Direction=H","UseDPDF=Y")</f>
        <v>—</v>
      </c>
      <c r="H15" s="18">
        <f>_xll.BDH("AMZN US Equity","IS_INT_INC","FQ1 2000","FQ1 2000","Currency=USD","Period=FQ","BEST_FPERIOD_OVERRIDE=FQ","FILING_STATUS=OR","SCALING_FORMAT=MLN","FA_ADJUSTED=Adjusted","Sort=A","Dates=H","DateFormat=P","Fill=—","Direction=H","UseDPDF=Y")</f>
        <v>10.125999999999999</v>
      </c>
      <c r="I15" s="18" t="str">
        <f>_xll.BDH("AMZN US Equity","IS_INT_INC","FQ3 2000","FQ3 2000","Currency=USD","Period=FQ","BEST_FPERIOD_OVERRIDE=FQ","FILING_STATUS=OR","SCALING_FORMAT=MLN","FA_ADJUSTED=Adjusted","Sort=A","Dates=H","DateFormat=P","Fill=—","Direction=H","UseDPDF=Y")</f>
        <v>—</v>
      </c>
      <c r="J15" s="18" t="str">
        <f>_xll.BDH("AMZN US Equity","IS_INT_INC","FQ4 2000","FQ4 2000","Currency=USD","Period=FQ","BEST_FPERIOD_OVERRIDE=FQ","FILING_STATUS=OR","SCALING_FORMAT=MLN","FA_ADJUSTED=Adjusted","Sort=A","Dates=H","DateFormat=P","Fill=—","Direction=H","UseDPDF=Y")</f>
        <v>—</v>
      </c>
      <c r="K15" s="18">
        <f>_xll.BDH("AMZN US Equity","IS_INT_INC","FQ1 2001","FQ1 2001","Currency=USD","Period=FQ","BEST_FPERIOD_OVERRIDE=FQ","FILING_STATUS=OR","SCALING_FORMAT=MLN","FA_ADJUSTED=Adjusted","Sort=A","Dates=H","DateFormat=P","Fill=—","Direction=H","UseDPDF=Y")</f>
        <v>9.9499999999999993</v>
      </c>
      <c r="L15" s="18">
        <f>_xll.BDH("AMZN US Equity","IS_INT_INC","FQ2 2001","FQ2 2001","Currency=USD","Period=FQ","BEST_FPERIOD_OVERRIDE=FQ","FILING_STATUS=OR","SCALING_FORMAT=MLN","FA_ADJUSTED=Adjusted","Sort=A","Dates=H","DateFormat=P","Fill=—","Direction=H","UseDPDF=Y")</f>
        <v>6.8070000000000004</v>
      </c>
      <c r="M15" s="18">
        <f>_xll.BDH("AMZN US Equity","IS_INT_INC","FQ3 2001","FQ3 2001","Currency=USD","Period=FQ","BEST_FPERIOD_OVERRIDE=FQ","FILING_STATUS=OR","SCALING_FORMAT=MLN","FA_ADJUSTED=Adjusted","Sort=A","Dates=H","DateFormat=P","Fill=—","Direction=H","UseDPDF=Y")</f>
        <v>6.3159999999999998</v>
      </c>
      <c r="N15" s="18">
        <f>_xll.BDH("AMZN US Equity","IS_INT_INC","FQ4 2001","FQ4 2001","Currency=USD","Period=FQ","BEST_FPERIOD_OVERRIDE=FQ","FILING_STATUS=OR","SCALING_FORMAT=MLN","FA_ADJUSTED=Adjusted","Sort=A","Dates=H","DateFormat=P","Fill=—","Direction=H","UseDPDF=Y")</f>
        <v>6.03</v>
      </c>
      <c r="O15" s="18">
        <f>_xll.BDH("AMZN US Equity","IS_INT_INC","FQ1 2002","FQ1 2002","Currency=USD","Period=FQ","BEST_FPERIOD_OVERRIDE=FQ","FILING_STATUS=OR","SCALING_FORMAT=MLN","FA_ADJUSTED=Adjusted","Sort=A","Dates=H","DateFormat=P","Fill=—","Direction=H","UseDPDF=Y")</f>
        <v>5.6520000000000001</v>
      </c>
      <c r="P15" s="18">
        <f>_xll.BDH("AMZN US Equity","IS_INT_INC","FQ2 2002","FQ2 2002","Currency=USD","Period=FQ","BEST_FPERIOD_OVERRIDE=FQ","FILING_STATUS=OR","SCALING_FORMAT=MLN","FA_ADJUSTED=Adjusted","Sort=A","Dates=H","DateFormat=P","Fill=—","Direction=H","UseDPDF=Y")</f>
        <v>5.65</v>
      </c>
      <c r="Q15" s="18">
        <f>_xll.BDH("AMZN US Equity","IS_INT_INC","FQ3 2002","FQ3 2002","Currency=USD","Period=FQ","BEST_FPERIOD_OVERRIDE=FQ","FILING_STATUS=OR","SCALING_FORMAT=MLN","FA_ADJUSTED=Adjusted","Sort=A","Dates=H","DateFormat=P","Fill=—","Direction=H","UseDPDF=Y")</f>
        <v>5.6</v>
      </c>
      <c r="R15" s="18">
        <f>_xll.BDH("AMZN US Equity","IS_INT_INC","FQ4 2002","FQ4 2002","Currency=USD","Period=FQ","BEST_FPERIOD_OVERRIDE=FQ","FILING_STATUS=OR","SCALING_FORMAT=MLN","FA_ADJUSTED=Adjusted","Sort=A","Dates=H","DateFormat=P","Fill=—","Direction=H","UseDPDF=Y")</f>
        <v>6.7850000000000001</v>
      </c>
      <c r="S15" s="18">
        <f>_xll.BDH("AMZN US Equity","IS_INT_INC","FQ1 2003","FQ1 2003","Currency=USD","Period=FQ","BEST_FPERIOD_OVERRIDE=FQ","FILING_STATUS=OR","SCALING_FORMAT=MLN","FA_ADJUSTED=Adjusted","Sort=A","Dates=H","DateFormat=P","Fill=—","Direction=H","UseDPDF=Y")</f>
        <v>6.54</v>
      </c>
      <c r="T15" s="18">
        <f>_xll.BDH("AMZN US Equity","IS_INT_INC","FQ2 2003","FQ2 2003","Currency=USD","Period=FQ","BEST_FPERIOD_OVERRIDE=FQ","FILING_STATUS=OR","SCALING_FORMAT=MLN","FA_ADJUSTED=Adjusted","Sort=A","Dates=H","DateFormat=P","Fill=—","Direction=H","UseDPDF=Y")</f>
        <v>5.7610000000000001</v>
      </c>
      <c r="U15" s="18">
        <f>_xll.BDH("AMZN US Equity","IS_INT_INC","FQ3 2003","FQ3 2003","Currency=USD","Period=FQ","BEST_FPERIOD_OVERRIDE=FQ","FILING_STATUS=OR","SCALING_FORMAT=MLN","FA_ADJUSTED=Adjusted","Sort=A","Dates=H","DateFormat=P","Fill=—","Direction=H","UseDPDF=Y")</f>
        <v>4.3239999999999998</v>
      </c>
      <c r="V15" s="18">
        <f>_xll.BDH("AMZN US Equity","IS_INT_INC","FQ4 2003","FQ4 2003","Currency=USD","Period=FQ","BEST_FPERIOD_OVERRIDE=FQ","FILING_STATUS=OR","SCALING_FORMAT=MLN","FA_ADJUSTED=Adjusted","Sort=A","Dates=H","DateFormat=P","Fill=—","Direction=H","UseDPDF=Y")</f>
        <v>5.33</v>
      </c>
      <c r="W15" s="18">
        <f>_xll.BDH("AMZN US Equity","IS_INT_INC","FQ1 2004","FQ1 2004","Currency=USD","Period=FQ","BEST_FPERIOD_OVERRIDE=FQ","FILING_STATUS=OR","SCALING_FORMAT=MLN","FA_ADJUSTED=Adjusted","Sort=A","Dates=H","DateFormat=P","Fill=—","Direction=H","UseDPDF=Y")</f>
        <v>5.5549999999999997</v>
      </c>
      <c r="X15" s="18">
        <f>_xll.BDH("AMZN US Equity","IS_INT_INC","FQ2 2004","FQ2 2004","Currency=USD","Period=FQ","BEST_FPERIOD_OVERRIDE=FQ","FILING_STATUS=OR","SCALING_FORMAT=MLN","FA_ADJUSTED=Adjusted","Sort=A","Dates=H","DateFormat=P","Fill=—","Direction=H","UseDPDF=Y")</f>
        <v>5.3109999999999999</v>
      </c>
      <c r="Y15" s="18">
        <f>_xll.BDH("AMZN US Equity","IS_INT_INC","FQ3 2004","FQ3 2004","Currency=USD","Period=FQ","BEST_FPERIOD_OVERRIDE=FQ","FILING_STATUS=OR","SCALING_FORMAT=MLN","FA_ADJUSTED=Adjusted","Sort=A","Dates=H","DateFormat=P","Fill=—","Direction=H","UseDPDF=Y")</f>
        <v>7.5529999999999999</v>
      </c>
      <c r="Z15" s="18">
        <f>_xll.BDH("AMZN US Equity","IS_INT_INC","FQ4 2004","FQ4 2004","Currency=USD","Period=FQ","BEST_FPERIOD_OVERRIDE=FQ","FILING_STATUS=OR","SCALING_FORMAT=MLN","FA_ADJUSTED=Adjusted","Sort=A","Dates=H","DateFormat=P","Fill=—","Direction=H","UseDPDF=Y")</f>
        <v>9.7780000000000005</v>
      </c>
      <c r="AA15" s="18">
        <f>_xll.BDH("AMZN US Equity","IS_INT_INC","FQ1 2005","FQ1 2005","Currency=USD","Period=FQ","BEST_FPERIOD_OVERRIDE=FQ","FILING_STATUS=OR","SCALING_FORMAT=MLN","FA_ADJUSTED=Adjusted","Sort=A","Dates=H","DateFormat=P","Fill=—","Direction=H","UseDPDF=Y")</f>
        <v>9</v>
      </c>
      <c r="AB15" s="18">
        <f>_xll.BDH("AMZN US Equity","IS_INT_INC","FQ2 2005","FQ2 2005","Currency=USD","Period=FQ","BEST_FPERIOD_OVERRIDE=FQ","FILING_STATUS=OR","SCALING_FORMAT=MLN","FA_ADJUSTED=Adjusted","Sort=A","Dates=H","DateFormat=P","Fill=—","Direction=H","UseDPDF=Y")</f>
        <v>9</v>
      </c>
      <c r="AC15" s="18">
        <f>_xll.BDH("AMZN US Equity","IS_INT_INC","FQ3 2005","FQ3 2005","Currency=USD","Period=FQ","BEST_FPERIOD_OVERRIDE=FQ","FILING_STATUS=OR","SCALING_FORMAT=MLN","FA_ADJUSTED=Adjusted","Sort=A","Dates=H","DateFormat=P","Fill=—","Direction=H","UseDPDF=Y")</f>
        <v>12</v>
      </c>
      <c r="AD15" s="18">
        <f>_xll.BDH("AMZN US Equity","IS_INT_INC","FQ4 2005","FQ4 2005","Currency=USD","Period=FQ","BEST_FPERIOD_OVERRIDE=FQ","FILING_STATUS=OR","SCALING_FORMAT=MLN","FA_ADJUSTED=Adjusted","Sort=A","Dates=H","DateFormat=P","Fill=—","Direction=H","UseDPDF=Y")</f>
        <v>14</v>
      </c>
      <c r="AE15" s="18">
        <f>_xll.BDH("AMZN US Equity","IS_INT_INC","FQ1 2006","FQ1 2006","Currency=USD","Period=FQ","BEST_FPERIOD_OVERRIDE=FQ","FILING_STATUS=OR","SCALING_FORMAT=MLN","FA_ADJUSTED=Adjusted","Sort=A","Dates=H","DateFormat=P","Fill=—","Direction=H","UseDPDF=Y")</f>
        <v>15</v>
      </c>
      <c r="AF15" s="18">
        <f>_xll.BDH("AMZN US Equity","IS_INT_INC","FQ2 2006","FQ2 2006","Currency=USD","Period=FQ","BEST_FPERIOD_OVERRIDE=FQ","FILING_STATUS=OR","SCALING_FORMAT=MLN","FA_ADJUSTED=Adjusted","Sort=A","Dates=H","DateFormat=P","Fill=—","Direction=H","UseDPDF=Y")</f>
        <v>13</v>
      </c>
      <c r="AG15" s="18">
        <f>_xll.BDH("AMZN US Equity","IS_INT_INC","FQ3 2006","FQ3 2006","Currency=USD","Period=FQ","BEST_FPERIOD_OVERRIDE=FQ","FILING_STATUS=OR","SCALING_FORMAT=MLN","FA_ADJUSTED=Adjusted","Sort=A","Dates=H","DateFormat=P","Fill=—","Direction=H","UseDPDF=Y")</f>
        <v>14</v>
      </c>
      <c r="AH15" s="18">
        <f>_xll.BDH("AMZN US Equity","IS_INT_INC","FQ4 2006","FQ4 2006","Currency=USD","Period=FQ","BEST_FPERIOD_OVERRIDE=FQ","FILING_STATUS=OR","SCALING_FORMAT=MLN","FA_ADJUSTED=Adjusted","Sort=A","Dates=H","DateFormat=P","Fill=—","Direction=H","UseDPDF=Y")</f>
        <v>17</v>
      </c>
      <c r="AI15" s="18">
        <f>_xll.BDH("AMZN US Equity","IS_INT_INC","FQ1 2007","FQ1 2007","Currency=USD","Period=FQ","BEST_FPERIOD_OVERRIDE=FQ","FILING_STATUS=OR","SCALING_FORMAT=MLN","FA_ADJUSTED=Adjusted","Sort=A","Dates=H","DateFormat=P","Fill=—","Direction=H","UseDPDF=Y")</f>
        <v>20</v>
      </c>
      <c r="AJ15" s="18">
        <f>_xll.BDH("AMZN US Equity","IS_INT_INC","FQ2 2007","FQ2 2007","Currency=USD","Period=FQ","BEST_FPERIOD_OVERRIDE=FQ","FILING_STATUS=OR","SCALING_FORMAT=MLN","FA_ADJUSTED=Adjusted","Sort=A","Dates=H","DateFormat=P","Fill=—","Direction=H","UseDPDF=Y")</f>
        <v>20</v>
      </c>
      <c r="AK15" s="18">
        <f>_xll.BDH("AMZN US Equity","IS_INT_INC","FQ3 2007","FQ3 2007","Currency=USD","Period=FQ","BEST_FPERIOD_OVERRIDE=FQ","FILING_STATUS=OR","SCALING_FORMAT=MLN","FA_ADJUSTED=Adjusted","Sort=A","Dates=H","DateFormat=P","Fill=—","Direction=H","UseDPDF=Y")</f>
        <v>23</v>
      </c>
      <c r="AL15" s="18">
        <f>_xll.BDH("AMZN US Equity","IS_INT_INC","FQ4 2007","FQ4 2007","Currency=USD","Period=FQ","BEST_FPERIOD_OVERRIDE=FQ","FILING_STATUS=OR","SCALING_FORMAT=MLN","FA_ADJUSTED=Adjusted","Sort=A","Dates=H","DateFormat=P","Fill=—","Direction=H","UseDPDF=Y")</f>
        <v>28</v>
      </c>
      <c r="AM15" s="18">
        <f>_xll.BDH("AMZN US Equity","IS_INT_INC","FQ1 2008","FQ1 2008","Currency=USD","Period=FQ","BEST_FPERIOD_OVERRIDE=FQ","FILING_STATUS=OR","SCALING_FORMAT=MLN","FA_ADJUSTED=Adjusted","Sort=A","Dates=H","DateFormat=P","Fill=—","Direction=H","UseDPDF=Y")</f>
        <v>26</v>
      </c>
      <c r="AN15" s="18">
        <f>_xll.BDH("AMZN US Equity","IS_INT_INC","FQ2 2008","FQ2 2008","Currency=USD","Period=FQ","BEST_FPERIOD_OVERRIDE=FQ","FILING_STATUS=OR","SCALING_FORMAT=MLN","FA_ADJUSTED=Adjusted","Sort=A","Dates=H","DateFormat=P","Fill=—","Direction=H","UseDPDF=Y")</f>
        <v>20</v>
      </c>
      <c r="AO15" s="18">
        <f>_xll.BDH("AMZN US Equity","IS_INT_INC","FQ3 2008","FQ3 2008","Currency=USD","Period=FQ","BEST_FPERIOD_OVERRIDE=FQ","FILING_STATUS=OR","SCALING_FORMAT=MLN","FA_ADJUSTED=Adjusted","Sort=A","Dates=H","DateFormat=P","Fill=—","Direction=H","UseDPDF=Y")</f>
        <v>21</v>
      </c>
      <c r="AP15" s="18">
        <f>_xll.BDH("AMZN US Equity","IS_INT_INC","FQ4 2008","FQ4 2008","Currency=USD","Period=FQ","BEST_FPERIOD_OVERRIDE=FQ","FILING_STATUS=OR","SCALING_FORMAT=MLN","FA_ADJUSTED=Adjusted","Sort=A","Dates=H","DateFormat=P","Fill=—","Direction=H","UseDPDF=Y")</f>
        <v>16</v>
      </c>
    </row>
    <row r="16" spans="1:42" x14ac:dyDescent="0.25">
      <c r="A16" s="10" t="s">
        <v>106</v>
      </c>
      <c r="B16" s="10" t="s">
        <v>107</v>
      </c>
      <c r="C16" s="13">
        <f>_xll.BDH("AMZN US Equity","IS_FOREIGN_EXCH_LOSS","FQ4 1998","FQ4 1998","Currency=USD","Period=FQ","BEST_FPERIOD_OVERRIDE=FQ","FILING_STATUS=OR","SCALING_FORMAT=MLN","FA_ADJUSTED=Adjusted","Sort=A","Dates=H","DateFormat=P","Fill=—","Direction=H","UseDPDF=Y")</f>
        <v>0</v>
      </c>
      <c r="D16" s="13">
        <f>_xll.BDH("AMZN US Equity","IS_FOREIGN_EXCH_LOSS","FQ1 1999","FQ1 1999","Currency=USD","Period=FQ","BEST_FPERIOD_OVERRIDE=FQ","FILING_STATUS=OR","SCALING_FORMAT=MLN","FA_ADJUSTED=Adjusted","Sort=A","Dates=H","DateFormat=P","Fill=—","Direction=H","UseDPDF=Y")</f>
        <v>0</v>
      </c>
      <c r="E16" s="13">
        <f>_xll.BDH("AMZN US Equity","IS_FOREIGN_EXCH_LOSS","FQ2 1999","FQ2 1999","Currency=USD","Period=FQ","BEST_FPERIOD_OVERRIDE=FQ","FILING_STATUS=OR","SCALING_FORMAT=MLN","FA_ADJUSTED=Adjusted","Sort=A","Dates=H","DateFormat=P","Fill=—","Direction=H","UseDPDF=Y")</f>
        <v>0</v>
      </c>
      <c r="F16" s="13">
        <f>_xll.BDH("AMZN US Equity","IS_FOREIGN_EXCH_LOSS","FQ3 1999","FQ3 1999","Currency=USD","Period=FQ","BEST_FPERIOD_OVERRIDE=FQ","FILING_STATUS=OR","SCALING_FORMAT=MLN","FA_ADJUSTED=Adjusted","Sort=A","Dates=H","DateFormat=P","Fill=—","Direction=H","UseDPDF=Y")</f>
        <v>0</v>
      </c>
      <c r="G16" s="13">
        <f>_xll.BDH("AMZN US Equity","IS_FOREIGN_EXCH_LOSS","FQ4 1999","FQ4 1999","Currency=USD","Period=FQ","BEST_FPERIOD_OVERRIDE=FQ","FILING_STATUS=OR","SCALING_FORMAT=MLN","FA_ADJUSTED=Adjusted","Sort=A","Dates=H","DateFormat=P","Fill=—","Direction=H","UseDPDF=Y")</f>
        <v>0</v>
      </c>
      <c r="H16" s="13">
        <f>_xll.BDH("AMZN US Equity","IS_FOREIGN_EXCH_LOSS","FQ1 2000","FQ1 2000","Currency=USD","Period=FQ","BEST_FPERIOD_OVERRIDE=FQ","FILING_STATUS=OR","SCALING_FORMAT=MLN","FA_ADJUSTED=Adjusted","Sort=A","Dates=H","DateFormat=P","Fill=—","Direction=H","UseDPDF=Y")</f>
        <v>0</v>
      </c>
      <c r="I16" s="13">
        <f>_xll.BDH("AMZN US Equity","IS_FOREIGN_EXCH_LOSS","FQ3 2000","FQ3 2000","Currency=USD","Period=FQ","BEST_FPERIOD_OVERRIDE=FQ","FILING_STATUS=OR","SCALING_FORMAT=MLN","FA_ADJUSTED=Adjusted","Sort=A","Dates=H","DateFormat=P","Fill=—","Direction=H","UseDPDF=Y")</f>
        <v>0</v>
      </c>
      <c r="J16" s="13">
        <f>_xll.BDH("AMZN US Equity","IS_FOREIGN_EXCH_LOSS","FQ4 2000","FQ4 2000","Currency=USD","Period=FQ","BEST_FPERIOD_OVERRIDE=FQ","FILING_STATUS=OR","SCALING_FORMAT=MLN","FA_ADJUSTED=Adjusted","Sort=A","Dates=H","DateFormat=P","Fill=—","Direction=H","UseDPDF=Y")</f>
        <v>0</v>
      </c>
      <c r="K16" s="13">
        <f>_xll.BDH("AMZN US Equity","IS_FOREIGN_EXCH_LOSS","FQ1 2001","FQ1 2001","Currency=USD","Period=FQ","BEST_FPERIOD_OVERRIDE=FQ","FILING_STATUS=OR","SCALING_FORMAT=MLN","FA_ADJUSTED=Adjusted","Sort=A","Dates=H","DateFormat=P","Fill=—","Direction=H","UseDPDF=Y")</f>
        <v>0</v>
      </c>
      <c r="L16" s="13">
        <f>_xll.BDH("AMZN US Equity","IS_FOREIGN_EXCH_LOSS","FQ2 2001","FQ2 2001","Currency=USD","Period=FQ","BEST_FPERIOD_OVERRIDE=FQ","FILING_STATUS=OR","SCALING_FORMAT=MLN","FA_ADJUSTED=Adjusted","Sort=A","Dates=H","DateFormat=P","Fill=—","Direction=H","UseDPDF=Y")</f>
        <v>0</v>
      </c>
      <c r="M16" s="13">
        <f>_xll.BDH("AMZN US Equity","IS_FOREIGN_EXCH_LOSS","FQ3 2001","FQ3 2001","Currency=USD","Period=FQ","BEST_FPERIOD_OVERRIDE=FQ","FILING_STATUS=OR","SCALING_FORMAT=MLN","FA_ADJUSTED=Adjusted","Sort=A","Dates=H","DateFormat=P","Fill=—","Direction=H","UseDPDF=Y")</f>
        <v>0</v>
      </c>
      <c r="N16" s="13">
        <f>_xll.BDH("AMZN US Equity","IS_FOREIGN_EXCH_LOSS","FQ4 2001","FQ4 2001","Currency=USD","Period=FQ","BEST_FPERIOD_OVERRIDE=FQ","FILING_STATUS=OR","SCALING_FORMAT=MLN","FA_ADJUSTED=Adjusted","Sort=A","Dates=H","DateFormat=P","Fill=—","Direction=H","UseDPDF=Y")</f>
        <v>0</v>
      </c>
      <c r="O16" s="13">
        <f>_xll.BDH("AMZN US Equity","IS_FOREIGN_EXCH_LOSS","FQ1 2002","FQ1 2002","Currency=USD","Period=FQ","BEST_FPERIOD_OVERRIDE=FQ","FILING_STATUS=OR","SCALING_FORMAT=MLN","FA_ADJUSTED=Adjusted","Sort=A","Dates=H","DateFormat=P","Fill=—","Direction=H","UseDPDF=Y")</f>
        <v>0</v>
      </c>
      <c r="P16" s="13">
        <f>_xll.BDH("AMZN US Equity","IS_FOREIGN_EXCH_LOSS","FQ2 2002","FQ2 2002","Currency=USD","Period=FQ","BEST_FPERIOD_OVERRIDE=FQ","FILING_STATUS=OR","SCALING_FORMAT=MLN","FA_ADJUSTED=Adjusted","Sort=A","Dates=H","DateFormat=P","Fill=—","Direction=H","UseDPDF=Y")</f>
        <v>0</v>
      </c>
      <c r="Q16" s="13">
        <f>_xll.BDH("AMZN US Equity","IS_FOREIGN_EXCH_LOSS","FQ3 2002","FQ3 2002","Currency=USD","Period=FQ","BEST_FPERIOD_OVERRIDE=FQ","FILING_STATUS=OR","SCALING_FORMAT=MLN","FA_ADJUSTED=Adjusted","Sort=A","Dates=H","DateFormat=P","Fill=—","Direction=H","UseDPDF=Y")</f>
        <v>0</v>
      </c>
      <c r="R16" s="13">
        <f>_xll.BDH("AMZN US Equity","IS_FOREIGN_EXCH_LOSS","FQ4 2002","FQ4 2002","Currency=USD","Period=FQ","BEST_FPERIOD_OVERRIDE=FQ","FILING_STATUS=OR","SCALING_FORMAT=MLN","FA_ADJUSTED=Adjusted","Sort=A","Dates=H","DateFormat=P","Fill=—","Direction=H","UseDPDF=Y")</f>
        <v>0</v>
      </c>
      <c r="S16" s="13">
        <f>_xll.BDH("AMZN US Equity","IS_FOREIGN_EXCH_LOSS","FQ1 2003","FQ1 2003","Currency=USD","Period=FQ","BEST_FPERIOD_OVERRIDE=FQ","FILING_STATUS=OR","SCALING_FORMAT=MLN","FA_ADJUSTED=Adjusted","Sort=A","Dates=H","DateFormat=P","Fill=—","Direction=H","UseDPDF=Y")</f>
        <v>0</v>
      </c>
      <c r="T16" s="13">
        <f>_xll.BDH("AMZN US Equity","IS_FOREIGN_EXCH_LOSS","FQ2 2003","FQ2 2003","Currency=USD","Period=FQ","BEST_FPERIOD_OVERRIDE=FQ","FILING_STATUS=OR","SCALING_FORMAT=MLN","FA_ADJUSTED=Adjusted","Sort=A","Dates=H","DateFormat=P","Fill=—","Direction=H","UseDPDF=Y")</f>
        <v>0</v>
      </c>
      <c r="U16" s="13">
        <f>_xll.BDH("AMZN US Equity","IS_FOREIGN_EXCH_LOSS","FQ3 2003","FQ3 2003","Currency=USD","Period=FQ","BEST_FPERIOD_OVERRIDE=FQ","FILING_STATUS=OR","SCALING_FORMAT=MLN","FA_ADJUSTED=Adjusted","Sort=A","Dates=H","DateFormat=P","Fill=—","Direction=H","UseDPDF=Y")</f>
        <v>0</v>
      </c>
      <c r="V16" s="13">
        <f>_xll.BDH("AMZN US Equity","IS_FOREIGN_EXCH_LOSS","FQ4 2003","FQ4 2003","Currency=USD","Period=FQ","BEST_FPERIOD_OVERRIDE=FQ","FILING_STATUS=OR","SCALING_FORMAT=MLN","FA_ADJUSTED=Adjusted","Sort=A","Dates=H","DateFormat=P","Fill=—","Direction=H","UseDPDF=Y")</f>
        <v>0</v>
      </c>
      <c r="W16" s="13">
        <f>_xll.BDH("AMZN US Equity","IS_FOREIGN_EXCH_LOSS","FQ1 2004","FQ1 2004","Currency=USD","Period=FQ","BEST_FPERIOD_OVERRIDE=FQ","FILING_STATUS=OR","SCALING_FORMAT=MLN","FA_ADJUSTED=Adjusted","Sort=A","Dates=H","DateFormat=P","Fill=—","Direction=H","UseDPDF=Y")</f>
        <v>1</v>
      </c>
      <c r="X16" s="13">
        <f>_xll.BDH("AMZN US Equity","IS_FOREIGN_EXCH_LOSS","FQ2 2004","FQ2 2004","Currency=USD","Period=FQ","BEST_FPERIOD_OVERRIDE=FQ","FILING_STATUS=OR","SCALING_FORMAT=MLN","FA_ADJUSTED=Adjusted","Sort=A","Dates=H","DateFormat=P","Fill=—","Direction=H","UseDPDF=Y")</f>
        <v>0.32900000000000001</v>
      </c>
      <c r="Y16" s="13">
        <f>_xll.BDH("AMZN US Equity","IS_FOREIGN_EXCH_LOSS","FQ3 2004","FQ3 2004","Currency=USD","Period=FQ","BEST_FPERIOD_OVERRIDE=FQ","FILING_STATUS=OR","SCALING_FORMAT=MLN","FA_ADJUSTED=Adjusted","Sort=A","Dates=H","DateFormat=P","Fill=—","Direction=H","UseDPDF=Y")</f>
        <v>0.28499999999999998</v>
      </c>
      <c r="Z16" s="13">
        <f>_xll.BDH("AMZN US Equity","IS_FOREIGN_EXCH_LOSS","FQ4 2004","FQ4 2004","Currency=USD","Period=FQ","BEST_FPERIOD_OVERRIDE=FQ","FILING_STATUS=OR","SCALING_FORMAT=MLN","FA_ADJUSTED=Adjusted","Sort=A","Dates=H","DateFormat=P","Fill=—","Direction=H","UseDPDF=Y")</f>
        <v>3.6</v>
      </c>
      <c r="AA16" s="13">
        <f>_xll.BDH("AMZN US Equity","IS_FOREIGN_EXCH_LOSS","FQ1 2005","FQ1 2005","Currency=USD","Period=FQ","BEST_FPERIOD_OVERRIDE=FQ","FILING_STATUS=OR","SCALING_FORMAT=MLN","FA_ADJUSTED=Adjusted","Sort=A","Dates=H","DateFormat=P","Fill=—","Direction=H","UseDPDF=Y")</f>
        <v>9.4</v>
      </c>
      <c r="AB16" s="13" t="str">
        <f>_xll.BDH("AMZN US Equity","IS_FOREIGN_EXCH_LOSS","FQ2 2005","FQ2 2005","Currency=USD","Period=FQ","BEST_FPERIOD_OVERRIDE=FQ","FILING_STATUS=OR","SCALING_FORMAT=MLN","FA_ADJUSTED=Adjusted","Sort=A","Dates=H","DateFormat=P","Fill=—","Direction=H","UseDPDF=Y")</f>
        <v>—</v>
      </c>
      <c r="AC16" s="13" t="str">
        <f>_xll.BDH("AMZN US Equity","IS_FOREIGN_EXCH_LOSS","FQ3 2005","FQ3 2005","Currency=USD","Period=FQ","BEST_FPERIOD_OVERRIDE=FQ","FILING_STATUS=OR","SCALING_FORMAT=MLN","FA_ADJUSTED=Adjusted","Sort=A","Dates=H","DateFormat=P","Fill=—","Direction=H","UseDPDF=Y")</f>
        <v>—</v>
      </c>
      <c r="AD16" s="13" t="str">
        <f>_xll.BDH("AMZN US Equity","IS_FOREIGN_EXCH_LOSS","FQ4 2005","FQ4 2005","Currency=USD","Period=FQ","BEST_FPERIOD_OVERRIDE=FQ","FILING_STATUS=OR","SCALING_FORMAT=MLN","FA_ADJUSTED=Adjusted","Sort=A","Dates=H","DateFormat=P","Fill=—","Direction=H","UseDPDF=Y")</f>
        <v>—</v>
      </c>
      <c r="AE16" s="13">
        <f>_xll.BDH("AMZN US Equity","IS_FOREIGN_EXCH_LOSS","FQ1 2006","FQ1 2006","Currency=USD","Period=FQ","BEST_FPERIOD_OVERRIDE=FQ","FILING_STATUS=OR","SCALING_FORMAT=MLN","FA_ADJUSTED=Adjusted","Sort=A","Dates=H","DateFormat=P","Fill=—","Direction=H","UseDPDF=Y")</f>
        <v>0</v>
      </c>
      <c r="AF16" s="13">
        <f>_xll.BDH("AMZN US Equity","IS_FOREIGN_EXCH_LOSS","FQ2 2006","FQ2 2006","Currency=USD","Period=FQ","BEST_FPERIOD_OVERRIDE=FQ","FILING_STATUS=OR","SCALING_FORMAT=MLN","FA_ADJUSTED=Adjusted","Sort=A","Dates=H","DateFormat=P","Fill=—","Direction=H","UseDPDF=Y")</f>
        <v>0</v>
      </c>
      <c r="AG16" s="13">
        <f>_xll.BDH("AMZN US Equity","IS_FOREIGN_EXCH_LOSS","FQ3 2006","FQ3 2006","Currency=USD","Period=FQ","BEST_FPERIOD_OVERRIDE=FQ","FILING_STATUS=OR","SCALING_FORMAT=MLN","FA_ADJUSTED=Adjusted","Sort=A","Dates=H","DateFormat=P","Fill=—","Direction=H","UseDPDF=Y")</f>
        <v>0</v>
      </c>
      <c r="AH16" s="13">
        <f>_xll.BDH("AMZN US Equity","IS_FOREIGN_EXCH_LOSS","FQ4 2006","FQ4 2006","Currency=USD","Period=FQ","BEST_FPERIOD_OVERRIDE=FQ","FILING_STATUS=OR","SCALING_FORMAT=MLN","FA_ADJUSTED=Adjusted","Sort=A","Dates=H","DateFormat=P","Fill=—","Direction=H","UseDPDF=Y")</f>
        <v>0</v>
      </c>
      <c r="AI16" s="13">
        <f>_xll.BDH("AMZN US Equity","IS_FOREIGN_EXCH_LOSS","FQ1 2007","FQ1 2007","Currency=USD","Period=FQ","BEST_FPERIOD_OVERRIDE=FQ","FILING_STATUS=OR","SCALING_FORMAT=MLN","FA_ADJUSTED=Adjusted","Sort=A","Dates=H","DateFormat=P","Fill=—","Direction=H","UseDPDF=Y")</f>
        <v>0</v>
      </c>
      <c r="AJ16" s="13">
        <f>_xll.BDH("AMZN US Equity","IS_FOREIGN_EXCH_LOSS","FQ2 2007","FQ2 2007","Currency=USD","Period=FQ","BEST_FPERIOD_OVERRIDE=FQ","FILING_STATUS=OR","SCALING_FORMAT=MLN","FA_ADJUSTED=Adjusted","Sort=A","Dates=H","DateFormat=P","Fill=—","Direction=H","UseDPDF=Y")</f>
        <v>0</v>
      </c>
      <c r="AK16" s="13">
        <f>_xll.BDH("AMZN US Equity","IS_FOREIGN_EXCH_LOSS","FQ3 2007","FQ3 2007","Currency=USD","Period=FQ","BEST_FPERIOD_OVERRIDE=FQ","FILING_STATUS=OR","SCALING_FORMAT=MLN","FA_ADJUSTED=Adjusted","Sort=A","Dates=H","DateFormat=P","Fill=—","Direction=H","UseDPDF=Y")</f>
        <v>0</v>
      </c>
      <c r="AL16" s="13">
        <f>_xll.BDH("AMZN US Equity","IS_FOREIGN_EXCH_LOSS","FQ4 2007","FQ4 2007","Currency=USD","Period=FQ","BEST_FPERIOD_OVERRIDE=FQ","FILING_STATUS=OR","SCALING_FORMAT=MLN","FA_ADJUSTED=Adjusted","Sort=A","Dates=H","DateFormat=P","Fill=—","Direction=H","UseDPDF=Y")</f>
        <v>0</v>
      </c>
      <c r="AM16" s="13">
        <f>_xll.BDH("AMZN US Equity","IS_FOREIGN_EXCH_LOSS","FQ1 2008","FQ1 2008","Currency=USD","Period=FQ","BEST_FPERIOD_OVERRIDE=FQ","FILING_STATUS=OR","SCALING_FORMAT=MLN","FA_ADJUSTED=Adjusted","Sort=A","Dates=H","DateFormat=P","Fill=—","Direction=H","UseDPDF=Y")</f>
        <v>0</v>
      </c>
      <c r="AN16" s="13">
        <f>_xll.BDH("AMZN US Equity","IS_FOREIGN_EXCH_LOSS","FQ2 2008","FQ2 2008","Currency=USD","Period=FQ","BEST_FPERIOD_OVERRIDE=FQ","FILING_STATUS=OR","SCALING_FORMAT=MLN","FA_ADJUSTED=Adjusted","Sort=A","Dates=H","DateFormat=P","Fill=—","Direction=H","UseDPDF=Y")</f>
        <v>0</v>
      </c>
      <c r="AO16" s="13">
        <f>_xll.BDH("AMZN US Equity","IS_FOREIGN_EXCH_LOSS","FQ3 2008","FQ3 2008","Currency=USD","Period=FQ","BEST_FPERIOD_OVERRIDE=FQ","FILING_STATUS=OR","SCALING_FORMAT=MLN","FA_ADJUSTED=Adjusted","Sort=A","Dates=H","DateFormat=P","Fill=—","Direction=H","UseDPDF=Y")</f>
        <v>0</v>
      </c>
      <c r="AP16" s="13" t="str">
        <f>_xll.BDH("AMZN US Equity","IS_FOREIGN_EXCH_LOSS","FQ4 2008","FQ4 2008","Currency=USD","Period=FQ","BEST_FPERIOD_OVERRIDE=FQ","FILING_STATUS=OR","SCALING_FORMAT=MLN","FA_ADJUSTED=Adjusted","Sort=A","Dates=H","DateFormat=P","Fill=—","Direction=H","UseDPDF=Y")</f>
        <v>—</v>
      </c>
    </row>
    <row r="17" spans="1:42" x14ac:dyDescent="0.25">
      <c r="A17" s="6" t="s">
        <v>108</v>
      </c>
      <c r="B17" s="6" t="s">
        <v>109</v>
      </c>
      <c r="C17" s="16">
        <f>_xll.BDH("AMZN US Equity","PRETAX_INC","FQ4 1998","FQ4 1998","Currency=USD","Period=FQ","BEST_FPERIOD_OVERRIDE=FQ","FILING_STATUS=OR","SCALING_FORMAT=MLN","FA_ADJUSTED=Adjusted","Sort=A","Dates=H","DateFormat=P","Fill=—","Direction=H","UseDPDF=Y")</f>
        <v>-46.427</v>
      </c>
      <c r="D17" s="16">
        <f>_xll.BDH("AMZN US Equity","PRETAX_INC","FQ1 1999","FQ1 1999","Currency=USD","Period=FQ","BEST_FPERIOD_OVERRIDE=FQ","FILING_STATUS=OR","SCALING_FORMAT=MLN","FA_ADJUSTED=Adjusted","Sort=A","Dates=H","DateFormat=P","Fill=—","Direction=H","UseDPDF=Y")</f>
        <v>-61.667000000000002</v>
      </c>
      <c r="E17" s="16">
        <f>_xll.BDH("AMZN US Equity","PRETAX_INC","FQ2 1999","FQ2 1999","Currency=USD","Period=FQ","BEST_FPERIOD_OVERRIDE=FQ","FILING_STATUS=OR","SCALING_FORMAT=MLN","FA_ADJUSTED=Adjusted","Sort=A","Dates=H","DateFormat=P","Fill=—","Direction=H","UseDPDF=Y")</f>
        <v>-138.00800000000001</v>
      </c>
      <c r="F17" s="16">
        <f>_xll.BDH("AMZN US Equity","PRETAX_INC","FQ3 1999","FQ3 1999","Currency=USD","Period=FQ","BEST_FPERIOD_OVERRIDE=FQ","FILING_STATUS=OR","SCALING_FORMAT=MLN","FA_ADJUSTED=Adjusted","Sort=A","Dates=H","DateFormat=P","Fill=—","Direction=H","UseDPDF=Y")</f>
        <v>-197.08</v>
      </c>
      <c r="G17" s="16">
        <f>_xll.BDH("AMZN US Equity","PRETAX_INC","FQ4 1999","FQ4 1999","Currency=USD","Period=FQ","BEST_FPERIOD_OVERRIDE=FQ","FILING_STATUS=OR","SCALING_FORMAT=MLN","FA_ADJUSTED=Adjusted","Sort=A","Dates=H","DateFormat=P","Fill=—","Direction=H","UseDPDF=Y")</f>
        <v>-323.21300000000002</v>
      </c>
      <c r="H17" s="16">
        <f>_xll.BDH("AMZN US Equity","PRETAX_INC","FQ1 2000","FQ1 2000","Currency=USD","Period=FQ","BEST_FPERIOD_OVERRIDE=FQ","FILING_STATUS=OR","SCALING_FORMAT=MLN","FA_ADJUSTED=Adjusted","Sort=A","Dates=H","DateFormat=P","Fill=—","Direction=H","UseDPDF=Y")</f>
        <v>-308.42500000000001</v>
      </c>
      <c r="I17" s="16">
        <f>_xll.BDH("AMZN US Equity","PRETAX_INC","FQ3 2000","FQ3 2000","Currency=USD","Period=FQ","BEST_FPERIOD_OVERRIDE=FQ","FILING_STATUS=OR","SCALING_FORMAT=MLN","FA_ADJUSTED=Adjusted","Sort=A","Dates=H","DateFormat=P","Fill=—","Direction=H","UseDPDF=Y")</f>
        <v>-240.524</v>
      </c>
      <c r="J17" s="16">
        <f>_xll.BDH("AMZN US Equity","PRETAX_INC","FQ4 2000","FQ4 2000","Currency=USD","Period=FQ","BEST_FPERIOD_OVERRIDE=FQ","FILING_STATUS=OR","SCALING_FORMAT=MLN","FA_ADJUSTED=Adjusted","Sort=A","Dates=H","DateFormat=P","Fill=—","Direction=H","UseDPDF=Y")</f>
        <v>-545.14</v>
      </c>
      <c r="K17" s="16">
        <f>_xll.BDH("AMZN US Equity","PRETAX_INC","FQ1 2001","FQ1 2001","Currency=USD","Period=FQ","BEST_FPERIOD_OVERRIDE=FQ","FILING_STATUS=OR","SCALING_FORMAT=MLN","FA_ADJUSTED=Adjusted","Sort=A","Dates=H","DateFormat=P","Fill=—","Direction=H","UseDPDF=Y")</f>
        <v>-223.608</v>
      </c>
      <c r="L17" s="16">
        <f>_xll.BDH("AMZN US Equity","PRETAX_INC","FQ2 2001","FQ2 2001","Currency=USD","Period=FQ","BEST_FPERIOD_OVERRIDE=FQ","FILING_STATUS=OR","SCALING_FORMAT=MLN","FA_ADJUSTED=Adjusted","Sort=A","Dates=H","DateFormat=P","Fill=—","Direction=H","UseDPDF=Y")</f>
        <v>-168.35900000000001</v>
      </c>
      <c r="M17" s="16">
        <f>_xll.BDH("AMZN US Equity","PRETAX_INC","FQ3 2001","FQ3 2001","Currency=USD","Period=FQ","BEST_FPERIOD_OVERRIDE=FQ","FILING_STATUS=OR","SCALING_FORMAT=MLN","FA_ADJUSTED=Adjusted","Sort=A","Dates=H","DateFormat=P","Fill=—","Direction=H","UseDPDF=Y")</f>
        <v>-169.874</v>
      </c>
      <c r="N17" s="16">
        <f>_xll.BDH("AMZN US Equity","PRETAX_INC","FQ4 2001","FQ4 2001","Currency=USD","Period=FQ","BEST_FPERIOD_OVERRIDE=FQ","FILING_STATUS=OR","SCALING_FORMAT=MLN","FA_ADJUSTED=Adjusted","Sort=A","Dates=H","DateFormat=P","Fill=—","Direction=H","UseDPDF=Y")</f>
        <v>5.0869999999999997</v>
      </c>
      <c r="O17" s="16">
        <f>_xll.BDH("AMZN US Equity","PRETAX_INC","FQ1 2002","FQ1 2002","Currency=USD","Period=FQ","BEST_FPERIOD_OVERRIDE=FQ","FILING_STATUS=OR","SCALING_FORMAT=MLN","FA_ADJUSTED=Adjusted","Sort=A","Dates=H","DateFormat=P","Fill=—","Direction=H","UseDPDF=Y")</f>
        <v>-23.951000000000001</v>
      </c>
      <c r="P17" s="16">
        <f>_xll.BDH("AMZN US Equity","PRETAX_INC","FQ2 2002","FQ2 2002","Currency=USD","Period=FQ","BEST_FPERIOD_OVERRIDE=FQ","FILING_STATUS=OR","SCALING_FORMAT=MLN","FA_ADJUSTED=Adjusted","Sort=A","Dates=H","DateFormat=P","Fill=—","Direction=H","UseDPDF=Y")</f>
        <v>-93.552999999999997</v>
      </c>
      <c r="Q17" s="16">
        <f>_xll.BDH("AMZN US Equity","PRETAX_INC","FQ3 2002","FQ3 2002","Currency=USD","Period=FQ","BEST_FPERIOD_OVERRIDE=FQ","FILING_STATUS=OR","SCALING_FORMAT=MLN","FA_ADJUSTED=Adjusted","Sort=A","Dates=H","DateFormat=P","Fill=—","Direction=H","UseDPDF=Y")</f>
        <v>-35.08</v>
      </c>
      <c r="R17" s="16">
        <f>_xll.BDH("AMZN US Equity","PRETAX_INC","FQ4 2002","FQ4 2002","Currency=USD","Period=FQ","BEST_FPERIOD_OVERRIDE=FQ","FILING_STATUS=OR","SCALING_FORMAT=MLN","FA_ADJUSTED=Adjusted","Sort=A","Dates=H","DateFormat=P","Fill=—","Direction=H","UseDPDF=Y")</f>
        <v>2.6509999999999998</v>
      </c>
      <c r="S17" s="16">
        <f>_xll.BDH("AMZN US Equity","PRETAX_INC","FQ1 2003","FQ1 2003","Currency=USD","Period=FQ","BEST_FPERIOD_OVERRIDE=FQ","FILING_STATUS=OR","SCALING_FORMAT=MLN","FA_ADJUSTED=Adjusted","Sort=A","Dates=H","DateFormat=P","Fill=—","Direction=H","UseDPDF=Y")</f>
        <v>-10.121</v>
      </c>
      <c r="T17" s="16">
        <f>_xll.BDH("AMZN US Equity","PRETAX_INC","FQ2 2003","FQ2 2003","Currency=USD","Period=FQ","BEST_FPERIOD_OVERRIDE=FQ","FILING_STATUS=OR","SCALING_FORMAT=MLN","FA_ADJUSTED=Adjusted","Sort=A","Dates=H","DateFormat=P","Fill=—","Direction=H","UseDPDF=Y")</f>
        <v>-43.314</v>
      </c>
      <c r="U17" s="16">
        <f>_xll.BDH("AMZN US Equity","PRETAX_INC","FQ3 2003","FQ3 2003","Currency=USD","Period=FQ","BEST_FPERIOD_OVERRIDE=FQ","FILING_STATUS=OR","SCALING_FORMAT=MLN","FA_ADJUSTED=Adjusted","Sort=A","Dates=H","DateFormat=P","Fill=—","Direction=H","UseDPDF=Y")</f>
        <v>15.563000000000001</v>
      </c>
      <c r="V17" s="16">
        <f>_xll.BDH("AMZN US Equity","PRETAX_INC","FQ4 2003","FQ4 2003","Currency=USD","Period=FQ","BEST_FPERIOD_OVERRIDE=FQ","FILING_STATUS=OR","SCALING_FORMAT=MLN","FA_ADJUSTED=Adjusted","Sort=A","Dates=H","DateFormat=P","Fill=—","Direction=H","UseDPDF=Y")</f>
        <v>73.153999999999996</v>
      </c>
      <c r="W17" s="16">
        <f>_xll.BDH("AMZN US Equity","PRETAX_INC","FQ1 2004","FQ1 2004","Currency=USD","Period=FQ","BEST_FPERIOD_OVERRIDE=FQ","FILING_STATUS=OR","SCALING_FORMAT=MLN","FA_ADJUSTED=Adjusted","Sort=A","Dates=H","DateFormat=P","Fill=—","Direction=H","UseDPDF=Y")</f>
        <v>111.136</v>
      </c>
      <c r="X17" s="16">
        <f>_xll.BDH("AMZN US Equity","PRETAX_INC","FQ2 2004","FQ2 2004","Currency=USD","Period=FQ","BEST_FPERIOD_OVERRIDE=FQ","FILING_STATUS=OR","SCALING_FORMAT=MLN","FA_ADJUSTED=Adjusted","Sort=A","Dates=H","DateFormat=P","Fill=—","Direction=H","UseDPDF=Y")</f>
        <v>76.48</v>
      </c>
      <c r="Y17" s="16">
        <f>_xll.BDH("AMZN US Equity","PRETAX_INC","FQ3 2004","FQ3 2004","Currency=USD","Period=FQ","BEST_FPERIOD_OVERRIDE=FQ","FILING_STATUS=OR","SCALING_FORMAT=MLN","FA_ADJUSTED=Adjusted","Sort=A","Dates=H","DateFormat=P","Fill=—","Direction=H","UseDPDF=Y")</f>
        <v>54.146999999999998</v>
      </c>
      <c r="Z17" s="16">
        <f>_xll.BDH("AMZN US Equity","PRETAX_INC","FQ4 2004","FQ4 2004","Currency=USD","Period=FQ","BEST_FPERIOD_OVERRIDE=FQ","FILING_STATUS=OR","SCALING_FORMAT=MLN","FA_ADJUSTED=Adjusted","Sort=A","Dates=H","DateFormat=P","Fill=—","Direction=H","UseDPDF=Y")</f>
        <v>114.107</v>
      </c>
      <c r="AA17" s="16">
        <f>_xll.BDH("AMZN US Equity","PRETAX_INC","FQ1 2005","FQ1 2005","Currency=USD","Period=FQ","BEST_FPERIOD_OVERRIDE=FQ","FILING_STATUS=OR","SCALING_FORMAT=MLN","FA_ADJUSTED=Adjusted","Sort=A","Dates=H","DateFormat=P","Fill=—","Direction=H","UseDPDF=Y")</f>
        <v>108</v>
      </c>
      <c r="AB17" s="16">
        <f>_xll.BDH("AMZN US Equity","PRETAX_INC","FQ2 2005","FQ2 2005","Currency=USD","Period=FQ","BEST_FPERIOD_OVERRIDE=FQ","FILING_STATUS=OR","SCALING_FORMAT=MLN","FA_ADJUSTED=Adjusted","Sort=A","Dates=H","DateFormat=P","Fill=—","Direction=H","UseDPDF=Y")</f>
        <v>108</v>
      </c>
      <c r="AC17" s="16">
        <f>_xll.BDH("AMZN US Equity","PRETAX_INC","FQ3 2005","FQ3 2005","Currency=USD","Period=FQ","BEST_FPERIOD_OVERRIDE=FQ","FILING_STATUS=OR","SCALING_FORMAT=MLN","FA_ADJUSTED=Adjusted","Sort=A","Dates=H","DateFormat=P","Fill=—","Direction=H","UseDPDF=Y")</f>
        <v>51</v>
      </c>
      <c r="AD17" s="16">
        <f>_xll.BDH("AMZN US Equity","PRETAX_INC","FQ4 2005","FQ4 2005","Currency=USD","Period=FQ","BEST_FPERIOD_OVERRIDE=FQ","FILING_STATUS=OR","SCALING_FORMAT=MLN","FA_ADJUSTED=Adjusted","Sort=A","Dates=H","DateFormat=P","Fill=—","Direction=H","UseDPDF=Y")</f>
        <v>161</v>
      </c>
      <c r="AE17" s="16">
        <f>_xll.BDH("AMZN US Equity","PRETAX_INC","FQ1 2006","FQ1 2006","Currency=USD","Period=FQ","BEST_FPERIOD_OVERRIDE=FQ","FILING_STATUS=OR","SCALING_FORMAT=MLN","FA_ADJUSTED=Adjusted","Sort=A","Dates=H","DateFormat=P","Fill=—","Direction=H","UseDPDF=Y")</f>
        <v>96</v>
      </c>
      <c r="AF17" s="16">
        <f>_xll.BDH("AMZN US Equity","PRETAX_INC","FQ2 2006","FQ2 2006","Currency=USD","Period=FQ","BEST_FPERIOD_OVERRIDE=FQ","FILING_STATUS=OR","SCALING_FORMAT=MLN","FA_ADJUSTED=Adjusted","Sort=A","Dates=H","DateFormat=P","Fill=—","Direction=H","UseDPDF=Y")</f>
        <v>54</v>
      </c>
      <c r="AG17" s="16">
        <f>_xll.BDH("AMZN US Equity","PRETAX_INC","FQ3 2006","FQ3 2006","Currency=USD","Period=FQ","BEST_FPERIOD_OVERRIDE=FQ","FILING_STATUS=OR","SCALING_FORMAT=MLN","FA_ADJUSTED=Adjusted","Sort=A","Dates=H","DateFormat=P","Fill=—","Direction=H","UseDPDF=Y")</f>
        <v>38</v>
      </c>
      <c r="AH17" s="16">
        <f>_xll.BDH("AMZN US Equity","PRETAX_INC","FQ4 2006","FQ4 2006","Currency=USD","Period=FQ","BEST_FPERIOD_OVERRIDE=FQ","FILING_STATUS=OR","SCALING_FORMAT=MLN","FA_ADJUSTED=Adjusted","Sort=A","Dates=H","DateFormat=P","Fill=—","Direction=H","UseDPDF=Y")</f>
        <v>189</v>
      </c>
      <c r="AI17" s="16">
        <f>_xll.BDH("AMZN US Equity","PRETAX_INC","FQ1 2007","FQ1 2007","Currency=USD","Period=FQ","BEST_FPERIOD_OVERRIDE=FQ","FILING_STATUS=OR","SCALING_FORMAT=MLN","FA_ADJUSTED=Adjusted","Sort=A","Dates=H","DateFormat=P","Fill=—","Direction=H","UseDPDF=Y")</f>
        <v>144</v>
      </c>
      <c r="AJ17" s="16">
        <f>_xll.BDH("AMZN US Equity","PRETAX_INC","FQ2 2007","FQ2 2007","Currency=USD","Period=FQ","BEST_FPERIOD_OVERRIDE=FQ","FILING_STATUS=OR","SCALING_FORMAT=MLN","FA_ADJUSTED=Adjusted","Sort=A","Dates=H","DateFormat=P","Fill=—","Direction=H","UseDPDF=Y")</f>
        <v>111</v>
      </c>
      <c r="AK17" s="16">
        <f>_xll.BDH("AMZN US Equity","PRETAX_INC","FQ3 2007","FQ3 2007","Currency=USD","Period=FQ","BEST_FPERIOD_OVERRIDE=FQ","FILING_STATUS=OR","SCALING_FORMAT=MLN","FA_ADJUSTED=Adjusted","Sort=A","Dates=H","DateFormat=P","Fill=—","Direction=H","UseDPDF=Y")</f>
        <v>124</v>
      </c>
      <c r="AL17" s="16">
        <f>_xll.BDH("AMZN US Equity","PRETAX_INC","FQ4 2007","FQ4 2007","Currency=USD","Period=FQ","BEST_FPERIOD_OVERRIDE=FQ","FILING_STATUS=OR","SCALING_FORMAT=MLN","FA_ADJUSTED=Adjusted","Sort=A","Dates=H","DateFormat=P","Fill=—","Direction=H","UseDPDF=Y")</f>
        <v>281</v>
      </c>
      <c r="AM17" s="16">
        <f>_xll.BDH("AMZN US Equity","PRETAX_INC","FQ1 2008","FQ1 2008","Currency=USD","Period=FQ","BEST_FPERIOD_OVERRIDE=FQ","FILING_STATUS=OR","SCALING_FORMAT=MLN","FA_ADJUSTED=Adjusted","Sort=A","Dates=H","DateFormat=P","Fill=—","Direction=H","UseDPDF=Y")</f>
        <v>205</v>
      </c>
      <c r="AN17" s="16">
        <f>_xll.BDH("AMZN US Equity","PRETAX_INC","FQ2 2008","FQ2 2008","Currency=USD","Period=FQ","BEST_FPERIOD_OVERRIDE=FQ","FILING_STATUS=OR","SCALING_FORMAT=MLN","FA_ADJUSTED=Adjusted","Sort=A","Dates=H","DateFormat=P","Fill=—","Direction=H","UseDPDF=Y")</f>
        <v>204</v>
      </c>
      <c r="AO17" s="16">
        <f>_xll.BDH("AMZN US Equity","PRETAX_INC","FQ3 2008","FQ3 2008","Currency=USD","Period=FQ","BEST_FPERIOD_OVERRIDE=FQ","FILING_STATUS=OR","SCALING_FORMAT=MLN","FA_ADJUSTED=Adjusted","Sort=A","Dates=H","DateFormat=P","Fill=—","Direction=H","UseDPDF=Y")</f>
        <v>177</v>
      </c>
      <c r="AP17" s="16">
        <f>_xll.BDH("AMZN US Equity","PRETAX_INC","FQ4 2008","FQ4 2008","Currency=USD","Period=FQ","BEST_FPERIOD_OVERRIDE=FQ","FILING_STATUS=OR","SCALING_FORMAT=MLN","FA_ADJUSTED=Adjusted","Sort=A","Dates=H","DateFormat=P","Fill=—","Direction=H","UseDPDF=Y")</f>
        <v>304</v>
      </c>
    </row>
    <row r="18" spans="1:42" x14ac:dyDescent="0.25">
      <c r="A18" s="10" t="s">
        <v>110</v>
      </c>
      <c r="B18" s="10" t="s">
        <v>111</v>
      </c>
      <c r="C18" s="13">
        <f>_xll.BDH("AMZN US Equity","IS_ABNORMAL_ITEM","FQ4 1998","FQ4 1998","Currency=USD","Period=FQ","BEST_FPERIOD_OVERRIDE=FQ","FILING_STATUS=OR","SCALING_FORMAT=MLN","Sort=A","Dates=H","DateFormat=P","Fill=—","Direction=H","UseDPDF=Y")</f>
        <v>24.247</v>
      </c>
      <c r="D18" s="13">
        <f>_xll.BDH("AMZN US Equity","IS_ABNORMAL_ITEM","FQ1 1999","FQ1 1999","Currency=USD","Period=FQ","BEST_FPERIOD_OVERRIDE=FQ","FILING_STATUS=OR","SCALING_FORMAT=MLN","Sort=A","Dates=H","DateFormat=P","Fill=—","Direction=H","UseDPDF=Y")</f>
        <v>25.309000000000001</v>
      </c>
      <c r="E18" s="13">
        <f>_xll.BDH("AMZN US Equity","IS_ABNORMAL_ITEM","FQ2 1999","FQ2 1999","Currency=USD","Period=FQ","BEST_FPERIOD_OVERRIDE=FQ","FILING_STATUS=OR","SCALING_FORMAT=MLN","Sort=A","Dates=H","DateFormat=P","Fill=—","Direction=H","UseDPDF=Y")</f>
        <v>60.2</v>
      </c>
      <c r="F18" s="13">
        <f>_xll.BDH("AMZN US Equity","IS_ABNORMAL_ITEM","FQ3 1999","FQ3 1999","Currency=USD","Period=FQ","BEST_FPERIOD_OVERRIDE=FQ","FILING_STATUS=OR","SCALING_FORMAT=MLN","Sort=A","Dates=H","DateFormat=P","Fill=—","Direction=H","UseDPDF=Y")</f>
        <v>99.480999999999995</v>
      </c>
      <c r="G18" s="13">
        <f>_xll.BDH("AMZN US Equity","IS_ABNORMAL_ITEM","FQ4 1999","FQ4 1999","Currency=USD","Period=FQ","BEST_FPERIOD_OVERRIDE=FQ","FILING_STATUS=OR","SCALING_FORMAT=MLN","Sort=A","Dates=H","DateFormat=P","Fill=—","Direction=H","UseDPDF=Y")</f>
        <v>137.01</v>
      </c>
      <c r="H18" s="13">
        <f>_xll.BDH("AMZN US Equity","IS_ABNORMAL_ITEM","FQ1 2000","FQ1 2000","Currency=USD","Period=FQ","BEST_FPERIOD_OVERRIDE=FQ","FILING_STATUS=OR","SCALING_FORMAT=MLN","Sort=A","Dates=H","DateFormat=P","Fill=—","Direction=H","UseDPDF=Y")</f>
        <v>189.136</v>
      </c>
      <c r="I18" s="13">
        <f>_xll.BDH("AMZN US Equity","IS_ABNORMAL_ITEM","FQ3 2000","FQ3 2000","Currency=USD","Period=FQ","BEST_FPERIOD_OVERRIDE=FQ","FILING_STATUS=OR","SCALING_FORMAT=MLN","Sort=A","Dates=H","DateFormat=P","Fill=—","Direction=H","UseDPDF=Y")</f>
        <v>151.03100000000001</v>
      </c>
      <c r="J18" s="13">
        <f>_xll.BDH("AMZN US Equity","IS_ABNORMAL_ITEM","FQ4 2000","FQ4 2000","Currency=USD","Period=FQ","BEST_FPERIOD_OVERRIDE=FQ","FILING_STATUS=OR","SCALING_FORMAT=MLN","Sort=A","Dates=H","DateFormat=P","Fill=—","Direction=H","UseDPDF=Y")</f>
        <v>454.714</v>
      </c>
      <c r="K18" s="13">
        <f>_xll.BDH("AMZN US Equity","IS_ABNORMAL_ITEM","FQ1 2001","FQ1 2001","Currency=USD","Period=FQ","BEST_FPERIOD_OVERRIDE=FQ","FILING_STATUS=OR","SCALING_FORMAT=MLN","Sort=A","Dates=H","DateFormat=P","Fill=—","Direction=H","UseDPDF=Y")</f>
        <v>147.32499999999999</v>
      </c>
      <c r="L18" s="13">
        <f>_xll.BDH("AMZN US Equity","IS_ABNORMAL_ITEM","FQ2 2001","FQ2 2001","Currency=USD","Period=FQ","BEST_FPERIOD_OVERRIDE=FQ","FILING_STATUS=OR","SCALING_FORMAT=MLN","Sort=A","Dates=H","DateFormat=P","Fill=—","Direction=H","UseDPDF=Y")</f>
        <v>110.831</v>
      </c>
      <c r="M18" s="13">
        <f>_xll.BDH("AMZN US Equity","IS_ABNORMAL_ITEM","FQ3 2001","FQ3 2001","Currency=USD","Period=FQ","BEST_FPERIOD_OVERRIDE=FQ","FILING_STATUS=OR","SCALING_FORMAT=MLN","Sort=A","Dates=H","DateFormat=P","Fill=—","Direction=H","UseDPDF=Y")</f>
        <v>3.9939999999999998</v>
      </c>
      <c r="N18" s="13">
        <f>_xll.BDH("AMZN US Equity","IS_ABNORMAL_ITEM","FQ4 2001","FQ4 2001","Currency=USD","Period=FQ","BEST_FPERIOD_OVERRIDE=FQ","FILING_STATUS=OR","SCALING_FORMAT=MLN","Sort=A","Dates=H","DateFormat=P","Fill=—","Direction=H","UseDPDF=Y")</f>
        <v>29.698</v>
      </c>
      <c r="O18" s="13">
        <f>_xll.BDH("AMZN US Equity","IS_ABNORMAL_ITEM","FQ1 2002","FQ1 2002","Currency=USD","Period=FQ","BEST_FPERIOD_OVERRIDE=FQ","FILING_STATUS=OR","SCALING_FORMAT=MLN","Sort=A","Dates=H","DateFormat=P","Fill=—","Direction=H","UseDPDF=Y")</f>
        <v>19.111999999999998</v>
      </c>
      <c r="P18" s="13">
        <f>_xll.BDH("AMZN US Equity","IS_ABNORMAL_ITEM","FQ2 2002","FQ2 2002","Currency=USD","Period=FQ","BEST_FPERIOD_OVERRIDE=FQ","FILING_STATUS=OR","SCALING_FORMAT=MLN","Sort=A","Dates=H","DateFormat=P","Fill=—","Direction=H","UseDPDF=Y")</f>
        <v>89.552999999999997</v>
      </c>
      <c r="Q18" s="13">
        <f>_xll.BDH("AMZN US Equity","IS_ABNORMAL_ITEM","FQ3 2002","FQ3 2002","Currency=USD","Period=FQ","BEST_FPERIOD_OVERRIDE=FQ","FILING_STATUS=OR","SCALING_FORMAT=MLN","Sort=A","Dates=H","DateFormat=P","Fill=—","Direction=H","UseDPDF=Y")</f>
        <v>35.433</v>
      </c>
      <c r="R18" s="13">
        <f>_xll.BDH("AMZN US Equity","IS_ABNORMAL_ITEM","FQ4 2002","FQ4 2002","Currency=USD","Period=FQ","BEST_FPERIOD_OVERRIDE=FQ","FILING_STATUS=OR","SCALING_FORMAT=MLN","Sort=A","Dates=H","DateFormat=P","Fill=—","Direction=H","UseDPDF=Y")</f>
        <v>72.730999999999995</v>
      </c>
      <c r="S18" s="13">
        <f>_xll.BDH("AMZN US Equity","IS_ABNORMAL_ITEM","FQ1 2003","FQ1 2003","Currency=USD","Period=FQ","BEST_FPERIOD_OVERRIDE=FQ","FILING_STATUS=OR","SCALING_FORMAT=MLN","Sort=A","Dates=H","DateFormat=P","Fill=—","Direction=H","UseDPDF=Y")</f>
        <v>60.59</v>
      </c>
      <c r="T18" s="13">
        <f>_xll.BDH("AMZN US Equity","IS_ABNORMAL_ITEM","FQ2 2003","FQ2 2003","Currency=USD","Period=FQ","BEST_FPERIOD_OVERRIDE=FQ","FILING_STATUS=OR","SCALING_FORMAT=MLN","Sort=A","Dates=H","DateFormat=P","Fill=—","Direction=H","UseDPDF=Y")</f>
        <v>85.581999999999994</v>
      </c>
      <c r="U18" s="13">
        <f>_xll.BDH("AMZN US Equity","IS_ABNORMAL_ITEM","FQ3 2003","FQ3 2003","Currency=USD","Period=FQ","BEST_FPERIOD_OVERRIDE=FQ","FILING_STATUS=OR","SCALING_FORMAT=MLN","Sort=A","Dates=H","DateFormat=P","Fill=—","Direction=H","UseDPDF=Y")</f>
        <v>32.863999999999997</v>
      </c>
      <c r="V18" s="13">
        <f>_xll.BDH("AMZN US Equity","IS_ABNORMAL_ITEM","FQ4 2003","FQ4 2003","Currency=USD","Period=FQ","BEST_FPERIOD_OVERRIDE=FQ","FILING_STATUS=OR","SCALING_FORMAT=MLN","Sort=A","Dates=H","DateFormat=P","Fill=—","Direction=H","UseDPDF=Y")</f>
        <v>51.825000000000003</v>
      </c>
      <c r="W18" s="13">
        <f>_xll.BDH("AMZN US Equity","IS_ABNORMAL_ITEM","FQ1 2004","FQ1 2004","Currency=USD","Period=FQ","BEST_FPERIOD_OVERRIDE=FQ","FILING_STATUS=OR","SCALING_FORMAT=MLN","Sort=A","Dates=H","DateFormat=P","Fill=—","Direction=H","UseDPDF=Y")</f>
        <v>-13.795</v>
      </c>
      <c r="X18" s="13">
        <f>_xll.BDH("AMZN US Equity","IS_ABNORMAL_ITEM","FQ2 2004","FQ2 2004","Currency=USD","Period=FQ","BEST_FPERIOD_OVERRIDE=FQ","FILING_STATUS=OR","SCALING_FORMAT=MLN","Sort=A","Dates=H","DateFormat=P","Fill=—","Direction=H","UseDPDF=Y")</f>
        <v>-1.76</v>
      </c>
      <c r="Y18" s="13">
        <f>_xll.BDH("AMZN US Equity","IS_ABNORMAL_ITEM","FQ3 2004","FQ3 2004","Currency=USD","Period=FQ","BEST_FPERIOD_OVERRIDE=FQ","FILING_STATUS=OR","SCALING_FORMAT=MLN","Sort=A","Dates=H","DateFormat=P","Fill=—","Direction=H","UseDPDF=Y")</f>
        <v>19.22</v>
      </c>
      <c r="Z18" s="13">
        <f>_xll.BDH("AMZN US Equity","IS_ABNORMAL_ITEM","FQ4 2004","FQ4 2004","Currency=USD","Period=FQ","BEST_FPERIOD_OVERRIDE=FQ","FILING_STATUS=OR","SCALING_FORMAT=MLN","Sort=A","Dates=H","DateFormat=P","Fill=—","Direction=H","UseDPDF=Y")</f>
        <v>-197.1</v>
      </c>
      <c r="AA18" s="13" t="str">
        <f>_xll.BDH("AMZN US Equity","IS_ABNORMAL_ITEM","FQ1 2005","FQ1 2005","Currency=USD","Period=FQ","BEST_FPERIOD_OVERRIDE=FQ","FILING_STATUS=OR","SCALING_FORMAT=MLN","Sort=A","Dates=H","DateFormat=P","Fill=—","Direction=H","UseDPDF=Y")</f>
        <v>—</v>
      </c>
      <c r="AB18" s="13" t="str">
        <f>_xll.BDH("AMZN US Equity","IS_ABNORMAL_ITEM","FQ2 2005","FQ2 2005","Currency=USD","Period=FQ","BEST_FPERIOD_OVERRIDE=FQ","FILING_STATUS=OR","SCALING_FORMAT=MLN","Sort=A","Dates=H","DateFormat=P","Fill=—","Direction=H","UseDPDF=Y")</f>
        <v>—</v>
      </c>
      <c r="AC18" s="13">
        <f>_xll.BDH("AMZN US Equity","IS_ABNORMAL_ITEM","FQ3 2005","FQ3 2005","Currency=USD","Period=FQ","BEST_FPERIOD_OVERRIDE=FQ","FILING_STATUS=OR","SCALING_FORMAT=MLN","Sort=A","Dates=H","DateFormat=P","Fill=—","Direction=H","UseDPDF=Y")</f>
        <v>40</v>
      </c>
      <c r="AD18" s="13">
        <f>_xll.BDH("AMZN US Equity","IS_ABNORMAL_ITEM","FQ4 2005","FQ4 2005","Currency=USD","Period=FQ","BEST_FPERIOD_OVERRIDE=FQ","FILING_STATUS=OR","SCALING_FORMAT=MLN","Sort=A","Dates=H","DateFormat=P","Fill=—","Direction=H","UseDPDF=Y")</f>
        <v>-90</v>
      </c>
      <c r="AE18" s="13" t="str">
        <f>_xll.BDH("AMZN US Equity","IS_ABNORMAL_ITEM","FQ1 2006","FQ1 2006","Currency=USD","Period=FQ","BEST_FPERIOD_OVERRIDE=FQ","FILING_STATUS=OR","SCALING_FORMAT=MLN","Sort=A","Dates=H","DateFormat=P","Fill=—","Direction=H","UseDPDF=Y")</f>
        <v>—</v>
      </c>
      <c r="AF18" s="13" t="str">
        <f>_xll.BDH("AMZN US Equity","IS_ABNORMAL_ITEM","FQ2 2006","FQ2 2006","Currency=USD","Period=FQ","BEST_FPERIOD_OVERRIDE=FQ","FILING_STATUS=OR","SCALING_FORMAT=MLN","Sort=A","Dates=H","DateFormat=P","Fill=—","Direction=H","UseDPDF=Y")</f>
        <v>—</v>
      </c>
      <c r="AG18" s="13" t="str">
        <f>_xll.BDH("AMZN US Equity","IS_ABNORMAL_ITEM","FQ3 2006","FQ3 2006","Currency=USD","Period=FQ","BEST_FPERIOD_OVERRIDE=FQ","FILING_STATUS=OR","SCALING_FORMAT=MLN","Sort=A","Dates=H","DateFormat=P","Fill=—","Direction=H","UseDPDF=Y")</f>
        <v>—</v>
      </c>
      <c r="AH18" s="13" t="str">
        <f>_xll.BDH("AMZN US Equity","IS_ABNORMAL_ITEM","FQ4 2006","FQ4 2006","Currency=USD","Period=FQ","BEST_FPERIOD_OVERRIDE=FQ","FILING_STATUS=OR","SCALING_FORMAT=MLN","Sort=A","Dates=H","DateFormat=P","Fill=—","Direction=H","UseDPDF=Y")</f>
        <v>—</v>
      </c>
      <c r="AI18" s="13" t="str">
        <f>_xll.BDH("AMZN US Equity","IS_ABNORMAL_ITEM","FQ1 2007","FQ1 2007","Currency=USD","Period=FQ","BEST_FPERIOD_OVERRIDE=FQ","FILING_STATUS=OR","SCALING_FORMAT=MLN","Sort=A","Dates=H","DateFormat=P","Fill=—","Direction=H","UseDPDF=Y")</f>
        <v>—</v>
      </c>
      <c r="AJ18" s="13" t="str">
        <f>_xll.BDH("AMZN US Equity","IS_ABNORMAL_ITEM","FQ2 2007","FQ2 2007","Currency=USD","Period=FQ","BEST_FPERIOD_OVERRIDE=FQ","FILING_STATUS=OR","SCALING_FORMAT=MLN","Sort=A","Dates=H","DateFormat=P","Fill=—","Direction=H","UseDPDF=Y")</f>
        <v>—</v>
      </c>
      <c r="AK18" s="13" t="str">
        <f>_xll.BDH("AMZN US Equity","IS_ABNORMAL_ITEM","FQ3 2007","FQ3 2007","Currency=USD","Period=FQ","BEST_FPERIOD_OVERRIDE=FQ","FILING_STATUS=OR","SCALING_FORMAT=MLN","Sort=A","Dates=H","DateFormat=P","Fill=—","Direction=H","UseDPDF=Y")</f>
        <v>—</v>
      </c>
      <c r="AL18" s="13" t="str">
        <f>_xll.BDH("AMZN US Equity","IS_ABNORMAL_ITEM","FQ4 2007","FQ4 2007","Currency=USD","Period=FQ","BEST_FPERIOD_OVERRIDE=FQ","FILING_STATUS=OR","SCALING_FORMAT=MLN","Sort=A","Dates=H","DateFormat=P","Fill=—","Direction=H","UseDPDF=Y")</f>
        <v>—</v>
      </c>
      <c r="AM18" s="13">
        <f>_xll.BDH("AMZN US Equity","IS_ABNORMAL_ITEM","FQ1 2008","FQ1 2008","Currency=USD","Period=FQ","BEST_FPERIOD_OVERRIDE=FQ","FILING_STATUS=OR","SCALING_FORMAT=MLN","Sort=A","Dates=H","DateFormat=P","Fill=—","Direction=H","UseDPDF=Y")</f>
        <v>0</v>
      </c>
      <c r="AN18" s="13">
        <f>_xll.BDH("AMZN US Equity","IS_ABNORMAL_ITEM","FQ2 2008","FQ2 2008","Currency=USD","Period=FQ","BEST_FPERIOD_OVERRIDE=FQ","FILING_STATUS=OR","SCALING_FORMAT=MLN","Sort=A","Dates=H","DateFormat=P","Fill=—","Direction=H","UseDPDF=Y")</f>
        <v>-53</v>
      </c>
      <c r="AO18" s="13">
        <f>_xll.BDH("AMZN US Equity","IS_ABNORMAL_ITEM","FQ3 2008","FQ3 2008","Currency=USD","Period=FQ","BEST_FPERIOD_OVERRIDE=FQ","FILING_STATUS=OR","SCALING_FORMAT=MLN","Sort=A","Dates=H","DateFormat=P","Fill=—","Direction=H","UseDPDF=Y")</f>
        <v>0</v>
      </c>
      <c r="AP18" s="13">
        <f>_xll.BDH("AMZN US Equity","IS_ABNORMAL_ITEM","FQ4 2008","FQ4 2008","Currency=USD","Period=FQ","BEST_FPERIOD_OVERRIDE=FQ","FILING_STATUS=OR","SCALING_FORMAT=MLN","Sort=A","Dates=H","DateFormat=P","Fill=—","Direction=H","UseDPDF=Y")</f>
        <v>0</v>
      </c>
    </row>
    <row r="19" spans="1:42" x14ac:dyDescent="0.25">
      <c r="A19" s="10" t="s">
        <v>112</v>
      </c>
      <c r="B19" s="10" t="s">
        <v>113</v>
      </c>
      <c r="C19" s="13" t="str">
        <f>_xll.BDH("AMZN US Equity","IS_IMPAIRMENT_GOODWILL_INTANGIBL","FQ4 1998","FQ4 1998","Currency=USD","Period=FQ","BEST_FPERIOD_OVERRIDE=FQ","FILING_STATUS=OR","SCALING_FORMAT=MLN","Sort=A","Dates=H","DateFormat=P","Fill=—","Direction=H","UseDPDF=Y")</f>
        <v>—</v>
      </c>
      <c r="D19" s="13" t="str">
        <f>_xll.BDH("AMZN US Equity","IS_IMPAIRMENT_GOODWILL_INTANGIBL","FQ1 1999","FQ1 1999","Currency=USD","Period=FQ","BEST_FPERIOD_OVERRIDE=FQ","FILING_STATUS=OR","SCALING_FORMAT=MLN","Sort=A","Dates=H","DateFormat=P","Fill=—","Direction=H","UseDPDF=Y")</f>
        <v>—</v>
      </c>
      <c r="E19" s="13" t="str">
        <f>_xll.BDH("AMZN US Equity","IS_IMPAIRMENT_GOODWILL_INTANGIBL","FQ2 1999","FQ2 1999","Currency=USD","Period=FQ","BEST_FPERIOD_OVERRIDE=FQ","FILING_STATUS=OR","SCALING_FORMAT=MLN","Sort=A","Dates=H","DateFormat=P","Fill=—","Direction=H","UseDPDF=Y")</f>
        <v>—</v>
      </c>
      <c r="F19" s="13" t="str">
        <f>_xll.BDH("AMZN US Equity","IS_IMPAIRMENT_GOODWILL_INTANGIBL","FQ3 1999","FQ3 1999","Currency=USD","Period=FQ","BEST_FPERIOD_OVERRIDE=FQ","FILING_STATUS=OR","SCALING_FORMAT=MLN","Sort=A","Dates=H","DateFormat=P","Fill=—","Direction=H","UseDPDF=Y")</f>
        <v>—</v>
      </c>
      <c r="G19" s="13" t="str">
        <f>_xll.BDH("AMZN US Equity","IS_IMPAIRMENT_GOODWILL_INTANGIBL","FQ4 1999","FQ4 1999","Currency=USD","Period=FQ","BEST_FPERIOD_OVERRIDE=FQ","FILING_STATUS=OR","SCALING_FORMAT=MLN","Sort=A","Dates=H","DateFormat=P","Fill=—","Direction=H","UseDPDF=Y")</f>
        <v>—</v>
      </c>
      <c r="H19" s="13" t="str">
        <f>_xll.BDH("AMZN US Equity","IS_IMPAIRMENT_GOODWILL_INTANGIBL","FQ1 2000","FQ1 2000","Currency=USD","Period=FQ","BEST_FPERIOD_OVERRIDE=FQ","FILING_STATUS=OR","SCALING_FORMAT=MLN","Sort=A","Dates=H","DateFormat=P","Fill=—","Direction=H","UseDPDF=Y")</f>
        <v>—</v>
      </c>
      <c r="I19" s="13" t="str">
        <f>_xll.BDH("AMZN US Equity","IS_IMPAIRMENT_GOODWILL_INTANGIBL","FQ3 2000","FQ3 2000","Currency=USD","Period=FQ","BEST_FPERIOD_OVERRIDE=FQ","FILING_STATUS=OR","SCALING_FORMAT=MLN","Sort=A","Dates=H","DateFormat=P","Fill=—","Direction=H","UseDPDF=Y")</f>
        <v>—</v>
      </c>
      <c r="J19" s="13" t="str">
        <f>_xll.BDH("AMZN US Equity","IS_IMPAIRMENT_GOODWILL_INTANGIBL","FQ4 2000","FQ4 2000","Currency=USD","Period=FQ","BEST_FPERIOD_OVERRIDE=FQ","FILING_STATUS=OR","SCALING_FORMAT=MLN","Sort=A","Dates=H","DateFormat=P","Fill=—","Direction=H","UseDPDF=Y")</f>
        <v>—</v>
      </c>
      <c r="K19" s="13" t="str">
        <f>_xll.BDH("AMZN US Equity","IS_IMPAIRMENT_GOODWILL_INTANGIBL","FQ1 2001","FQ1 2001","Currency=USD","Period=FQ","BEST_FPERIOD_OVERRIDE=FQ","FILING_STATUS=OR","SCALING_FORMAT=MLN","Sort=A","Dates=H","DateFormat=P","Fill=—","Direction=H","UseDPDF=Y")</f>
        <v>—</v>
      </c>
      <c r="L19" s="13" t="str">
        <f>_xll.BDH("AMZN US Equity","IS_IMPAIRMENT_GOODWILL_INTANGIBL","FQ2 2001","FQ2 2001","Currency=USD","Period=FQ","BEST_FPERIOD_OVERRIDE=FQ","FILING_STATUS=OR","SCALING_FORMAT=MLN","Sort=A","Dates=H","DateFormat=P","Fill=—","Direction=H","UseDPDF=Y")</f>
        <v>—</v>
      </c>
      <c r="M19" s="13" t="str">
        <f>_xll.BDH("AMZN US Equity","IS_IMPAIRMENT_GOODWILL_INTANGIBL","FQ3 2001","FQ3 2001","Currency=USD","Period=FQ","BEST_FPERIOD_OVERRIDE=FQ","FILING_STATUS=OR","SCALING_FORMAT=MLN","Sort=A","Dates=H","DateFormat=P","Fill=—","Direction=H","UseDPDF=Y")</f>
        <v>—</v>
      </c>
      <c r="N19" s="13" t="str">
        <f>_xll.BDH("AMZN US Equity","IS_IMPAIRMENT_GOODWILL_INTANGIBL","FQ4 2001","FQ4 2001","Currency=USD","Period=FQ","BEST_FPERIOD_OVERRIDE=FQ","FILING_STATUS=OR","SCALING_FORMAT=MLN","Sort=A","Dates=H","DateFormat=P","Fill=—","Direction=H","UseDPDF=Y")</f>
        <v>—</v>
      </c>
      <c r="O19" s="13" t="str">
        <f>_xll.BDH("AMZN US Equity","IS_IMPAIRMENT_GOODWILL_INTANGIBL","FQ1 2002","FQ1 2002","Currency=USD","Period=FQ","BEST_FPERIOD_OVERRIDE=FQ","FILING_STATUS=OR","SCALING_FORMAT=MLN","Sort=A","Dates=H","DateFormat=P","Fill=—","Direction=H","UseDPDF=Y")</f>
        <v>—</v>
      </c>
      <c r="P19" s="13" t="str">
        <f>_xll.BDH("AMZN US Equity","IS_IMPAIRMENT_GOODWILL_INTANGIBL","FQ2 2002","FQ2 2002","Currency=USD","Period=FQ","BEST_FPERIOD_OVERRIDE=FQ","FILING_STATUS=OR","SCALING_FORMAT=MLN","Sort=A","Dates=H","DateFormat=P","Fill=—","Direction=H","UseDPDF=Y")</f>
        <v>—</v>
      </c>
      <c r="Q19" s="13" t="str">
        <f>_xll.BDH("AMZN US Equity","IS_IMPAIRMENT_GOODWILL_INTANGIBL","FQ3 2002","FQ3 2002","Currency=USD","Period=FQ","BEST_FPERIOD_OVERRIDE=FQ","FILING_STATUS=OR","SCALING_FORMAT=MLN","Sort=A","Dates=H","DateFormat=P","Fill=—","Direction=H","UseDPDF=Y")</f>
        <v>—</v>
      </c>
      <c r="R19" s="13" t="str">
        <f>_xll.BDH("AMZN US Equity","IS_IMPAIRMENT_GOODWILL_INTANGIBL","FQ4 2002","FQ4 2002","Currency=USD","Period=FQ","BEST_FPERIOD_OVERRIDE=FQ","FILING_STATUS=OR","SCALING_FORMAT=MLN","Sort=A","Dates=H","DateFormat=P","Fill=—","Direction=H","UseDPDF=Y")</f>
        <v>—</v>
      </c>
      <c r="S19" s="13" t="str">
        <f>_xll.BDH("AMZN US Equity","IS_IMPAIRMENT_GOODWILL_INTANGIBL","FQ1 2003","FQ1 2003","Currency=USD","Period=FQ","BEST_FPERIOD_OVERRIDE=FQ","FILING_STATUS=OR","SCALING_FORMAT=MLN","Sort=A","Dates=H","DateFormat=P","Fill=—","Direction=H","UseDPDF=Y")</f>
        <v>—</v>
      </c>
      <c r="T19" s="13" t="str">
        <f>_xll.BDH("AMZN US Equity","IS_IMPAIRMENT_GOODWILL_INTANGIBL","FQ2 2003","FQ2 2003","Currency=USD","Period=FQ","BEST_FPERIOD_OVERRIDE=FQ","FILING_STATUS=OR","SCALING_FORMAT=MLN","Sort=A","Dates=H","DateFormat=P","Fill=—","Direction=H","UseDPDF=Y")</f>
        <v>—</v>
      </c>
      <c r="U19" s="13" t="str">
        <f>_xll.BDH("AMZN US Equity","IS_IMPAIRMENT_GOODWILL_INTANGIBL","FQ3 2003","FQ3 2003","Currency=USD","Period=FQ","BEST_FPERIOD_OVERRIDE=FQ","FILING_STATUS=OR","SCALING_FORMAT=MLN","Sort=A","Dates=H","DateFormat=P","Fill=—","Direction=H","UseDPDF=Y")</f>
        <v>—</v>
      </c>
      <c r="V19" s="13" t="str">
        <f>_xll.BDH("AMZN US Equity","IS_IMPAIRMENT_GOODWILL_INTANGIBL","FQ4 2003","FQ4 2003","Currency=USD","Period=FQ","BEST_FPERIOD_OVERRIDE=FQ","FILING_STATUS=OR","SCALING_FORMAT=MLN","Sort=A","Dates=H","DateFormat=P","Fill=—","Direction=H","UseDPDF=Y")</f>
        <v>—</v>
      </c>
      <c r="W19" s="13" t="str">
        <f>_xll.BDH("AMZN US Equity","IS_IMPAIRMENT_GOODWILL_INTANGIBL","FQ1 2004","FQ1 2004","Currency=USD","Period=FQ","BEST_FPERIOD_OVERRIDE=FQ","FILING_STATUS=OR","SCALING_FORMAT=MLN","Sort=A","Dates=H","DateFormat=P","Fill=—","Direction=H","UseDPDF=Y")</f>
        <v>—</v>
      </c>
      <c r="X19" s="13" t="str">
        <f>_xll.BDH("AMZN US Equity","IS_IMPAIRMENT_GOODWILL_INTANGIBL","FQ2 2004","FQ2 2004","Currency=USD","Period=FQ","BEST_FPERIOD_OVERRIDE=FQ","FILING_STATUS=OR","SCALING_FORMAT=MLN","Sort=A","Dates=H","DateFormat=P","Fill=—","Direction=H","UseDPDF=Y")</f>
        <v>—</v>
      </c>
      <c r="Y19" s="13" t="str">
        <f>_xll.BDH("AMZN US Equity","IS_IMPAIRMENT_GOODWILL_INTANGIBL","FQ3 2004","FQ3 2004","Currency=USD","Period=FQ","BEST_FPERIOD_OVERRIDE=FQ","FILING_STATUS=OR","SCALING_FORMAT=MLN","Sort=A","Dates=H","DateFormat=P","Fill=—","Direction=H","UseDPDF=Y")</f>
        <v>—</v>
      </c>
      <c r="Z19" s="13" t="str">
        <f>_xll.BDH("AMZN US Equity","IS_IMPAIRMENT_GOODWILL_INTANGIBL","FQ4 2004","FQ4 2004","Currency=USD","Period=FQ","BEST_FPERIOD_OVERRIDE=FQ","FILING_STATUS=OR","SCALING_FORMAT=MLN","Sort=A","Dates=H","DateFormat=P","Fill=—","Direction=H","UseDPDF=Y")</f>
        <v>—</v>
      </c>
      <c r="AA19" s="13">
        <f>_xll.BDH("AMZN US Equity","IS_IMPAIRMENT_GOODWILL_INTANGIBL","FQ1 2005","FQ1 2005","Currency=USD","Period=FQ","BEST_FPERIOD_OVERRIDE=FQ","FILING_STATUS=OR","SCALING_FORMAT=MLN","Sort=A","Dates=H","DateFormat=P","Fill=—","Direction=H","UseDPDF=Y")</f>
        <v>0</v>
      </c>
      <c r="AB19" s="13">
        <f>_xll.BDH("AMZN US Equity","IS_IMPAIRMENT_GOODWILL_INTANGIBL","FQ2 2005","FQ2 2005","Currency=USD","Period=FQ","BEST_FPERIOD_OVERRIDE=FQ","FILING_STATUS=OR","SCALING_FORMAT=MLN","Sort=A","Dates=H","DateFormat=P","Fill=—","Direction=H","UseDPDF=Y")</f>
        <v>0</v>
      </c>
      <c r="AC19" s="13">
        <f>_xll.BDH("AMZN US Equity","IS_IMPAIRMENT_GOODWILL_INTANGIBL","FQ3 2005","FQ3 2005","Currency=USD","Period=FQ","BEST_FPERIOD_OVERRIDE=FQ","FILING_STATUS=OR","SCALING_FORMAT=MLN","Sort=A","Dates=H","DateFormat=P","Fill=—","Direction=H","UseDPDF=Y")</f>
        <v>0</v>
      </c>
      <c r="AD19" s="13">
        <f>_xll.BDH("AMZN US Equity","IS_IMPAIRMENT_GOODWILL_INTANGIBL","FQ4 2005","FQ4 2005","Currency=USD","Period=FQ","BEST_FPERIOD_OVERRIDE=FQ","FILING_STATUS=OR","SCALING_FORMAT=MLN","Sort=A","Dates=H","DateFormat=P","Fill=—","Direction=H","UseDPDF=Y")</f>
        <v>0</v>
      </c>
      <c r="AE19" s="13">
        <f>_xll.BDH("AMZN US Equity","IS_IMPAIRMENT_GOODWILL_INTANGIBL","FQ1 2006","FQ1 2006","Currency=USD","Period=FQ","BEST_FPERIOD_OVERRIDE=FQ","FILING_STATUS=OR","SCALING_FORMAT=MLN","Sort=A","Dates=H","DateFormat=P","Fill=—","Direction=H","UseDPDF=Y")</f>
        <v>0</v>
      </c>
      <c r="AF19" s="13">
        <f>_xll.BDH("AMZN US Equity","IS_IMPAIRMENT_GOODWILL_INTANGIBL","FQ2 2006","FQ2 2006","Currency=USD","Period=FQ","BEST_FPERIOD_OVERRIDE=FQ","FILING_STATUS=OR","SCALING_FORMAT=MLN","Sort=A","Dates=H","DateFormat=P","Fill=—","Direction=H","UseDPDF=Y")</f>
        <v>0</v>
      </c>
      <c r="AG19" s="13">
        <f>_xll.BDH("AMZN US Equity","IS_IMPAIRMENT_GOODWILL_INTANGIBL","FQ3 2006","FQ3 2006","Currency=USD","Period=FQ","BEST_FPERIOD_OVERRIDE=FQ","FILING_STATUS=OR","SCALING_FORMAT=MLN","Sort=A","Dates=H","DateFormat=P","Fill=—","Direction=H","UseDPDF=Y")</f>
        <v>0</v>
      </c>
      <c r="AH19" s="13">
        <f>_xll.BDH("AMZN US Equity","IS_IMPAIRMENT_GOODWILL_INTANGIBL","FQ4 2006","FQ4 2006","Currency=USD","Period=FQ","BEST_FPERIOD_OVERRIDE=FQ","FILING_STATUS=OR","SCALING_FORMAT=MLN","Sort=A","Dates=H","DateFormat=P","Fill=—","Direction=H","UseDPDF=Y")</f>
        <v>0</v>
      </c>
      <c r="AI19" s="13" t="str">
        <f>_xll.BDH("AMZN US Equity","IS_IMPAIRMENT_GOODWILL_INTANGIBL","FQ1 2007","FQ1 2007","Currency=USD","Period=FQ","BEST_FPERIOD_OVERRIDE=FQ","FILING_STATUS=OR","SCALING_FORMAT=MLN","Sort=A","Dates=H","DateFormat=P","Fill=—","Direction=H","UseDPDF=Y")</f>
        <v>—</v>
      </c>
      <c r="AJ19" s="13" t="str">
        <f>_xll.BDH("AMZN US Equity","IS_IMPAIRMENT_GOODWILL_INTANGIBL","FQ2 2007","FQ2 2007","Currency=USD","Period=FQ","BEST_FPERIOD_OVERRIDE=FQ","FILING_STATUS=OR","SCALING_FORMAT=MLN","Sort=A","Dates=H","DateFormat=P","Fill=—","Direction=H","UseDPDF=Y")</f>
        <v>—</v>
      </c>
      <c r="AK19" s="13" t="str">
        <f>_xll.BDH("AMZN US Equity","IS_IMPAIRMENT_GOODWILL_INTANGIBL","FQ3 2007","FQ3 2007","Currency=USD","Period=FQ","BEST_FPERIOD_OVERRIDE=FQ","FILING_STATUS=OR","SCALING_FORMAT=MLN","Sort=A","Dates=H","DateFormat=P","Fill=—","Direction=H","UseDPDF=Y")</f>
        <v>—</v>
      </c>
      <c r="AL19" s="13" t="str">
        <f>_xll.BDH("AMZN US Equity","IS_IMPAIRMENT_GOODWILL_INTANGIBL","FQ4 2007","FQ4 2007","Currency=USD","Period=FQ","BEST_FPERIOD_OVERRIDE=FQ","FILING_STATUS=OR","SCALING_FORMAT=MLN","Sort=A","Dates=H","DateFormat=P","Fill=—","Direction=H","UseDPDF=Y")</f>
        <v>—</v>
      </c>
      <c r="AM19" s="13" t="str">
        <f>_xll.BDH("AMZN US Equity","IS_IMPAIRMENT_GOODWILL_INTANGIBL","FQ1 2008","FQ1 2008","Currency=USD","Period=FQ","BEST_FPERIOD_OVERRIDE=FQ","FILING_STATUS=OR","SCALING_FORMAT=MLN","Sort=A","Dates=H","DateFormat=P","Fill=—","Direction=H","UseDPDF=Y")</f>
        <v>—</v>
      </c>
      <c r="AN19" s="13" t="str">
        <f>_xll.BDH("AMZN US Equity","IS_IMPAIRMENT_GOODWILL_INTANGIBL","FQ2 2008","FQ2 2008","Currency=USD","Period=FQ","BEST_FPERIOD_OVERRIDE=FQ","FILING_STATUS=OR","SCALING_FORMAT=MLN","Sort=A","Dates=H","DateFormat=P","Fill=—","Direction=H","UseDPDF=Y")</f>
        <v>—</v>
      </c>
      <c r="AO19" s="13" t="str">
        <f>_xll.BDH("AMZN US Equity","IS_IMPAIRMENT_GOODWILL_INTANGIBL","FQ3 2008","FQ3 2008","Currency=USD","Period=FQ","BEST_FPERIOD_OVERRIDE=FQ","FILING_STATUS=OR","SCALING_FORMAT=MLN","Sort=A","Dates=H","DateFormat=P","Fill=—","Direction=H","UseDPDF=Y")</f>
        <v>—</v>
      </c>
      <c r="AP19" s="13" t="str">
        <f>_xll.BDH("AMZN US Equity","IS_IMPAIRMENT_GOODWILL_INTANGIBL","FQ4 2008","FQ4 2008","Currency=USD","Period=FQ","BEST_FPERIOD_OVERRIDE=FQ","FILING_STATUS=OR","SCALING_FORMAT=MLN","Sort=A","Dates=H","DateFormat=P","Fill=—","Direction=H","UseDPDF=Y")</f>
        <v>—</v>
      </c>
    </row>
    <row r="20" spans="1:42" x14ac:dyDescent="0.25">
      <c r="A20" s="6" t="s">
        <v>114</v>
      </c>
      <c r="B20" s="6" t="s">
        <v>109</v>
      </c>
      <c r="C20" s="16">
        <f>_xll.BDH("AMZN US Equity","PRETAX_INC","FQ4 1998","FQ4 1998","Currency=USD","Period=FQ","BEST_FPERIOD_OVERRIDE=FQ","FILING_STATUS=OR","SCALING_FORMAT=MLN","FA_ADJUSTED=GAAP","Sort=A","Dates=H","DateFormat=P","Fill=—","Direction=H","UseDPDF=Y")</f>
        <v>-46.427</v>
      </c>
      <c r="D20" s="16">
        <f>_xll.BDH("AMZN US Equity","PRETAX_INC","FQ1 1999","FQ1 1999","Currency=USD","Period=FQ","BEST_FPERIOD_OVERRIDE=FQ","FILING_STATUS=OR","SCALING_FORMAT=MLN","FA_ADJUSTED=GAAP","Sort=A","Dates=H","DateFormat=P","Fill=—","Direction=H","UseDPDF=Y")</f>
        <v>-61.667000000000002</v>
      </c>
      <c r="E20" s="16">
        <f>_xll.BDH("AMZN US Equity","PRETAX_INC","FQ2 1999","FQ2 1999","Currency=USD","Period=FQ","BEST_FPERIOD_OVERRIDE=FQ","FILING_STATUS=OR","SCALING_FORMAT=MLN","FA_ADJUSTED=GAAP","Sort=A","Dates=H","DateFormat=P","Fill=—","Direction=H","UseDPDF=Y")</f>
        <v>-138.00800000000001</v>
      </c>
      <c r="F20" s="16">
        <f>_xll.BDH("AMZN US Equity","PRETAX_INC","FQ3 1999","FQ3 1999","Currency=USD","Period=FQ","BEST_FPERIOD_OVERRIDE=FQ","FILING_STATUS=OR","SCALING_FORMAT=MLN","FA_ADJUSTED=GAAP","Sort=A","Dates=H","DateFormat=P","Fill=—","Direction=H","UseDPDF=Y")</f>
        <v>-197.08</v>
      </c>
      <c r="G20" s="16">
        <f>_xll.BDH("AMZN US Equity","PRETAX_INC","FQ4 1999","FQ4 1999","Currency=USD","Period=FQ","BEST_FPERIOD_OVERRIDE=FQ","FILING_STATUS=OR","SCALING_FORMAT=MLN","FA_ADJUSTED=GAAP","Sort=A","Dates=H","DateFormat=P","Fill=—","Direction=H","UseDPDF=Y")</f>
        <v>-323.21300000000002</v>
      </c>
      <c r="H20" s="16">
        <f>_xll.BDH("AMZN US Equity","PRETAX_INC","FQ1 2000","FQ1 2000","Currency=USD","Period=FQ","BEST_FPERIOD_OVERRIDE=FQ","FILING_STATUS=OR","SCALING_FORMAT=MLN","FA_ADJUSTED=GAAP","Sort=A","Dates=H","DateFormat=P","Fill=—","Direction=H","UseDPDF=Y")</f>
        <v>-308.42500000000001</v>
      </c>
      <c r="I20" s="16">
        <f>_xll.BDH("AMZN US Equity","PRETAX_INC","FQ3 2000","FQ3 2000","Currency=USD","Period=FQ","BEST_FPERIOD_OVERRIDE=FQ","FILING_STATUS=OR","SCALING_FORMAT=MLN","FA_ADJUSTED=GAAP","Sort=A","Dates=H","DateFormat=P","Fill=—","Direction=H","UseDPDF=Y")</f>
        <v>-240.524</v>
      </c>
      <c r="J20" s="16">
        <f>_xll.BDH("AMZN US Equity","PRETAX_INC","FQ4 2000","FQ4 2000","Currency=USD","Period=FQ","BEST_FPERIOD_OVERRIDE=FQ","FILING_STATUS=OR","SCALING_FORMAT=MLN","FA_ADJUSTED=GAAP","Sort=A","Dates=H","DateFormat=P","Fill=—","Direction=H","UseDPDF=Y")</f>
        <v>-545.14</v>
      </c>
      <c r="K20" s="16">
        <f>_xll.BDH("AMZN US Equity","PRETAX_INC","FQ1 2001","FQ1 2001","Currency=USD","Period=FQ","BEST_FPERIOD_OVERRIDE=FQ","FILING_STATUS=OR","SCALING_FORMAT=MLN","FA_ADJUSTED=GAAP","Sort=A","Dates=H","DateFormat=P","Fill=—","Direction=H","UseDPDF=Y")</f>
        <v>-223.608</v>
      </c>
      <c r="L20" s="16">
        <f>_xll.BDH("AMZN US Equity","PRETAX_INC","FQ2 2001","FQ2 2001","Currency=USD","Period=FQ","BEST_FPERIOD_OVERRIDE=FQ","FILING_STATUS=OR","SCALING_FORMAT=MLN","FA_ADJUSTED=GAAP","Sort=A","Dates=H","DateFormat=P","Fill=—","Direction=H","UseDPDF=Y")</f>
        <v>-168.35900000000001</v>
      </c>
      <c r="M20" s="16">
        <f>_xll.BDH("AMZN US Equity","PRETAX_INC","FQ3 2001","FQ3 2001","Currency=USD","Period=FQ","BEST_FPERIOD_OVERRIDE=FQ","FILING_STATUS=OR","SCALING_FORMAT=MLN","FA_ADJUSTED=GAAP","Sort=A","Dates=H","DateFormat=P","Fill=—","Direction=H","UseDPDF=Y")</f>
        <v>-169.874</v>
      </c>
      <c r="N20" s="16">
        <f>_xll.BDH("AMZN US Equity","PRETAX_INC","FQ4 2001","FQ4 2001","Currency=USD","Period=FQ","BEST_FPERIOD_OVERRIDE=FQ","FILING_STATUS=OR","SCALING_FORMAT=MLN","FA_ADJUSTED=GAAP","Sort=A","Dates=H","DateFormat=P","Fill=—","Direction=H","UseDPDF=Y")</f>
        <v>5.0869999999999997</v>
      </c>
      <c r="O20" s="16">
        <f>_xll.BDH("AMZN US Equity","PRETAX_INC","FQ1 2002","FQ1 2002","Currency=USD","Period=FQ","BEST_FPERIOD_OVERRIDE=FQ","FILING_STATUS=OR","SCALING_FORMAT=MLN","FA_ADJUSTED=GAAP","Sort=A","Dates=H","DateFormat=P","Fill=—","Direction=H","UseDPDF=Y")</f>
        <v>-23.951000000000001</v>
      </c>
      <c r="P20" s="16">
        <f>_xll.BDH("AMZN US Equity","PRETAX_INC","FQ2 2002","FQ2 2002","Currency=USD","Period=FQ","BEST_FPERIOD_OVERRIDE=FQ","FILING_STATUS=OR","SCALING_FORMAT=MLN","FA_ADJUSTED=GAAP","Sort=A","Dates=H","DateFormat=P","Fill=—","Direction=H","UseDPDF=Y")</f>
        <v>-93.552999999999997</v>
      </c>
      <c r="Q20" s="16">
        <f>_xll.BDH("AMZN US Equity","PRETAX_INC","FQ3 2002","FQ3 2002","Currency=USD","Period=FQ","BEST_FPERIOD_OVERRIDE=FQ","FILING_STATUS=OR","SCALING_FORMAT=MLN","FA_ADJUSTED=GAAP","Sort=A","Dates=H","DateFormat=P","Fill=—","Direction=H","UseDPDF=Y")</f>
        <v>-35.08</v>
      </c>
      <c r="R20" s="16">
        <f>_xll.BDH("AMZN US Equity","PRETAX_INC","FQ4 2002","FQ4 2002","Currency=USD","Period=FQ","BEST_FPERIOD_OVERRIDE=FQ","FILING_STATUS=OR","SCALING_FORMAT=MLN","FA_ADJUSTED=GAAP","Sort=A","Dates=H","DateFormat=P","Fill=—","Direction=H","UseDPDF=Y")</f>
        <v>2.6509999999999998</v>
      </c>
      <c r="S20" s="16">
        <f>_xll.BDH("AMZN US Equity","PRETAX_INC","FQ1 2003","FQ1 2003","Currency=USD","Period=FQ","BEST_FPERIOD_OVERRIDE=FQ","FILING_STATUS=OR","SCALING_FORMAT=MLN","FA_ADJUSTED=GAAP","Sort=A","Dates=H","DateFormat=P","Fill=—","Direction=H","UseDPDF=Y")</f>
        <v>-10.121</v>
      </c>
      <c r="T20" s="16">
        <f>_xll.BDH("AMZN US Equity","PRETAX_INC","FQ2 2003","FQ2 2003","Currency=USD","Period=FQ","BEST_FPERIOD_OVERRIDE=FQ","FILING_STATUS=OR","SCALING_FORMAT=MLN","FA_ADJUSTED=GAAP","Sort=A","Dates=H","DateFormat=P","Fill=—","Direction=H","UseDPDF=Y")</f>
        <v>-43.314</v>
      </c>
      <c r="U20" s="16">
        <f>_xll.BDH("AMZN US Equity","PRETAX_INC","FQ3 2003","FQ3 2003","Currency=USD","Period=FQ","BEST_FPERIOD_OVERRIDE=FQ","FILING_STATUS=OR","SCALING_FORMAT=MLN","FA_ADJUSTED=GAAP","Sort=A","Dates=H","DateFormat=P","Fill=—","Direction=H","UseDPDF=Y")</f>
        <v>15.563000000000001</v>
      </c>
      <c r="V20" s="16">
        <f>_xll.BDH("AMZN US Equity","PRETAX_INC","FQ4 2003","FQ4 2003","Currency=USD","Period=FQ","BEST_FPERIOD_OVERRIDE=FQ","FILING_STATUS=OR","SCALING_FORMAT=MLN","FA_ADJUSTED=GAAP","Sort=A","Dates=H","DateFormat=P","Fill=—","Direction=H","UseDPDF=Y")</f>
        <v>73.153999999999996</v>
      </c>
      <c r="W20" s="16">
        <f>_xll.BDH("AMZN US Equity","PRETAX_INC","FQ1 2004","FQ1 2004","Currency=USD","Period=FQ","BEST_FPERIOD_OVERRIDE=FQ","FILING_STATUS=OR","SCALING_FORMAT=MLN","FA_ADJUSTED=GAAP","Sort=A","Dates=H","DateFormat=P","Fill=—","Direction=H","UseDPDF=Y")</f>
        <v>111.136</v>
      </c>
      <c r="X20" s="16">
        <f>_xll.BDH("AMZN US Equity","PRETAX_INC","FQ2 2004","FQ2 2004","Currency=USD","Period=FQ","BEST_FPERIOD_OVERRIDE=FQ","FILING_STATUS=OR","SCALING_FORMAT=MLN","FA_ADJUSTED=GAAP","Sort=A","Dates=H","DateFormat=P","Fill=—","Direction=H","UseDPDF=Y")</f>
        <v>76.48</v>
      </c>
      <c r="Y20" s="16">
        <f>_xll.BDH("AMZN US Equity","PRETAX_INC","FQ3 2004","FQ3 2004","Currency=USD","Period=FQ","BEST_FPERIOD_OVERRIDE=FQ","FILING_STATUS=OR","SCALING_FORMAT=MLN","FA_ADJUSTED=GAAP","Sort=A","Dates=H","DateFormat=P","Fill=—","Direction=H","UseDPDF=Y")</f>
        <v>54.146999999999998</v>
      </c>
      <c r="Z20" s="16">
        <f>_xll.BDH("AMZN US Equity","PRETAX_INC","FQ4 2004","FQ4 2004","Currency=USD","Period=FQ","BEST_FPERIOD_OVERRIDE=FQ","FILING_STATUS=OR","SCALING_FORMAT=MLN","FA_ADJUSTED=GAAP","Sort=A","Dates=H","DateFormat=P","Fill=—","Direction=H","UseDPDF=Y")</f>
        <v>114.107</v>
      </c>
      <c r="AA20" s="16">
        <f>_xll.BDH("AMZN US Equity","PRETAX_INC","FQ1 2005","FQ1 2005","Currency=USD","Period=FQ","BEST_FPERIOD_OVERRIDE=FQ","FILING_STATUS=OR","SCALING_FORMAT=MLN","FA_ADJUSTED=GAAP","Sort=A","Dates=H","DateFormat=P","Fill=—","Direction=H","UseDPDF=Y")</f>
        <v>108</v>
      </c>
      <c r="AB20" s="16">
        <f>_xll.BDH("AMZN US Equity","PRETAX_INC","FQ2 2005","FQ2 2005","Currency=USD","Period=FQ","BEST_FPERIOD_OVERRIDE=FQ","FILING_STATUS=OR","SCALING_FORMAT=MLN","FA_ADJUSTED=GAAP","Sort=A","Dates=H","DateFormat=P","Fill=—","Direction=H","UseDPDF=Y")</f>
        <v>108</v>
      </c>
      <c r="AC20" s="16">
        <f>_xll.BDH("AMZN US Equity","PRETAX_INC","FQ3 2005","FQ3 2005","Currency=USD","Period=FQ","BEST_FPERIOD_OVERRIDE=FQ","FILING_STATUS=OR","SCALING_FORMAT=MLN","FA_ADJUSTED=GAAP","Sort=A","Dates=H","DateFormat=P","Fill=—","Direction=H","UseDPDF=Y")</f>
        <v>51</v>
      </c>
      <c r="AD20" s="16">
        <f>_xll.BDH("AMZN US Equity","PRETAX_INC","FQ4 2005","FQ4 2005","Currency=USD","Period=FQ","BEST_FPERIOD_OVERRIDE=FQ","FILING_STATUS=OR","SCALING_FORMAT=MLN","FA_ADJUSTED=GAAP","Sort=A","Dates=H","DateFormat=P","Fill=—","Direction=H","UseDPDF=Y")</f>
        <v>161</v>
      </c>
      <c r="AE20" s="16">
        <f>_xll.BDH("AMZN US Equity","PRETAX_INC","FQ1 2006","FQ1 2006","Currency=USD","Period=FQ","BEST_FPERIOD_OVERRIDE=FQ","FILING_STATUS=OR","SCALING_FORMAT=MLN","FA_ADJUSTED=GAAP","Sort=A","Dates=H","DateFormat=P","Fill=—","Direction=H","UseDPDF=Y")</f>
        <v>96</v>
      </c>
      <c r="AF20" s="16">
        <f>_xll.BDH("AMZN US Equity","PRETAX_INC","FQ2 2006","FQ2 2006","Currency=USD","Period=FQ","BEST_FPERIOD_OVERRIDE=FQ","FILING_STATUS=OR","SCALING_FORMAT=MLN","FA_ADJUSTED=GAAP","Sort=A","Dates=H","DateFormat=P","Fill=—","Direction=H","UseDPDF=Y")</f>
        <v>54</v>
      </c>
      <c r="AG20" s="16">
        <f>_xll.BDH("AMZN US Equity","PRETAX_INC","FQ3 2006","FQ3 2006","Currency=USD","Period=FQ","BEST_FPERIOD_OVERRIDE=FQ","FILING_STATUS=OR","SCALING_FORMAT=MLN","FA_ADJUSTED=GAAP","Sort=A","Dates=H","DateFormat=P","Fill=—","Direction=H","UseDPDF=Y")</f>
        <v>38</v>
      </c>
      <c r="AH20" s="16">
        <f>_xll.BDH("AMZN US Equity","PRETAX_INC","FQ4 2006","FQ4 2006","Currency=USD","Period=FQ","BEST_FPERIOD_OVERRIDE=FQ","FILING_STATUS=OR","SCALING_FORMAT=MLN","FA_ADJUSTED=GAAP","Sort=A","Dates=H","DateFormat=P","Fill=—","Direction=H","UseDPDF=Y")</f>
        <v>189</v>
      </c>
      <c r="AI20" s="16">
        <f>_xll.BDH("AMZN US Equity","PRETAX_INC","FQ1 2007","FQ1 2007","Currency=USD","Period=FQ","BEST_FPERIOD_OVERRIDE=FQ","FILING_STATUS=OR","SCALING_FORMAT=MLN","FA_ADJUSTED=GAAP","Sort=A","Dates=H","DateFormat=P","Fill=—","Direction=H","UseDPDF=Y")</f>
        <v>144</v>
      </c>
      <c r="AJ20" s="16">
        <f>_xll.BDH("AMZN US Equity","PRETAX_INC","FQ2 2007","FQ2 2007","Currency=USD","Period=FQ","BEST_FPERIOD_OVERRIDE=FQ","FILING_STATUS=OR","SCALING_FORMAT=MLN","FA_ADJUSTED=GAAP","Sort=A","Dates=H","DateFormat=P","Fill=—","Direction=H","UseDPDF=Y")</f>
        <v>111</v>
      </c>
      <c r="AK20" s="16">
        <f>_xll.BDH("AMZN US Equity","PRETAX_INC","FQ3 2007","FQ3 2007","Currency=USD","Period=FQ","BEST_FPERIOD_OVERRIDE=FQ","FILING_STATUS=OR","SCALING_FORMAT=MLN","FA_ADJUSTED=GAAP","Sort=A","Dates=H","DateFormat=P","Fill=—","Direction=H","UseDPDF=Y")</f>
        <v>124</v>
      </c>
      <c r="AL20" s="16">
        <f>_xll.BDH("AMZN US Equity","PRETAX_INC","FQ4 2007","FQ4 2007","Currency=USD","Period=FQ","BEST_FPERIOD_OVERRIDE=FQ","FILING_STATUS=OR","SCALING_FORMAT=MLN","FA_ADJUSTED=GAAP","Sort=A","Dates=H","DateFormat=P","Fill=—","Direction=H","UseDPDF=Y")</f>
        <v>281</v>
      </c>
      <c r="AM20" s="16">
        <f>_xll.BDH("AMZN US Equity","PRETAX_INC","FQ1 2008","FQ1 2008","Currency=USD","Period=FQ","BEST_FPERIOD_OVERRIDE=FQ","FILING_STATUS=OR","SCALING_FORMAT=MLN","FA_ADJUSTED=GAAP","Sort=A","Dates=H","DateFormat=P","Fill=—","Direction=H","UseDPDF=Y")</f>
        <v>205</v>
      </c>
      <c r="AN20" s="16">
        <f>_xll.BDH("AMZN US Equity","PRETAX_INC","FQ2 2008","FQ2 2008","Currency=USD","Period=FQ","BEST_FPERIOD_OVERRIDE=FQ","FILING_STATUS=OR","SCALING_FORMAT=MLN","FA_ADJUSTED=GAAP","Sort=A","Dates=H","DateFormat=P","Fill=—","Direction=H","UseDPDF=Y")</f>
        <v>204</v>
      </c>
      <c r="AO20" s="16">
        <f>_xll.BDH("AMZN US Equity","PRETAX_INC","FQ3 2008","FQ3 2008","Currency=USD","Period=FQ","BEST_FPERIOD_OVERRIDE=FQ","FILING_STATUS=OR","SCALING_FORMAT=MLN","FA_ADJUSTED=GAAP","Sort=A","Dates=H","DateFormat=P","Fill=—","Direction=H","UseDPDF=Y")</f>
        <v>177</v>
      </c>
      <c r="AP20" s="16">
        <f>_xll.BDH("AMZN US Equity","PRETAX_INC","FQ4 2008","FQ4 2008","Currency=USD","Period=FQ","BEST_FPERIOD_OVERRIDE=FQ","FILING_STATUS=OR","SCALING_FORMAT=MLN","FA_ADJUSTED=GAAP","Sort=A","Dates=H","DateFormat=P","Fill=—","Direction=H","UseDPDF=Y")</f>
        <v>304</v>
      </c>
    </row>
    <row r="21" spans="1:42" x14ac:dyDescent="0.25">
      <c r="A21" s="10" t="s">
        <v>115</v>
      </c>
      <c r="B21" s="10" t="s">
        <v>116</v>
      </c>
      <c r="C21" s="13">
        <f>_xll.BDH("AMZN US Equity","IS_INC_TAX_EXP","FQ4 1998","FQ4 1998","Currency=USD","Period=FQ","BEST_FPERIOD_OVERRIDE=FQ","FILING_STATUS=OR","SCALING_FORMAT=MLN","FA_ADJUSTED=GAAP","Sort=A","Dates=H","DateFormat=P","Fill=—","Direction=H","UseDPDF=Y")</f>
        <v>0</v>
      </c>
      <c r="D21" s="13">
        <f>_xll.BDH("AMZN US Equity","IS_INC_TAX_EXP","FQ1 1999","FQ1 1999","Currency=USD","Period=FQ","BEST_FPERIOD_OVERRIDE=FQ","FILING_STATUS=OR","SCALING_FORMAT=MLN","FA_ADJUSTED=GAAP","Sort=A","Dates=H","DateFormat=P","Fill=—","Direction=H","UseDPDF=Y")</f>
        <v>0</v>
      </c>
      <c r="E21" s="13">
        <f>_xll.BDH("AMZN US Equity","IS_INC_TAX_EXP","FQ2 1999","FQ2 1999","Currency=USD","Period=FQ","BEST_FPERIOD_OVERRIDE=FQ","FILING_STATUS=OR","SCALING_FORMAT=MLN","FA_ADJUSTED=GAAP","Sort=A","Dates=H","DateFormat=P","Fill=—","Direction=H","UseDPDF=Y")</f>
        <v>0</v>
      </c>
      <c r="F21" s="13">
        <f>_xll.BDH("AMZN US Equity","IS_INC_TAX_EXP","FQ3 1999","FQ3 1999","Currency=USD","Period=FQ","BEST_FPERIOD_OVERRIDE=FQ","FILING_STATUS=OR","SCALING_FORMAT=MLN","FA_ADJUSTED=GAAP","Sort=A","Dates=H","DateFormat=P","Fill=—","Direction=H","UseDPDF=Y")</f>
        <v>0</v>
      </c>
      <c r="G21" s="13">
        <f>_xll.BDH("AMZN US Equity","IS_INC_TAX_EXP","FQ4 1999","FQ4 1999","Currency=USD","Period=FQ","BEST_FPERIOD_OVERRIDE=FQ","FILING_STATUS=OR","SCALING_FORMAT=MLN","FA_ADJUSTED=GAAP","Sort=A","Dates=H","DateFormat=P","Fill=—","Direction=H","UseDPDF=Y")</f>
        <v>0</v>
      </c>
      <c r="H21" s="13">
        <f>_xll.BDH("AMZN US Equity","IS_INC_TAX_EXP","FQ1 2000","FQ1 2000","Currency=USD","Period=FQ","BEST_FPERIOD_OVERRIDE=FQ","FILING_STATUS=OR","SCALING_FORMAT=MLN","FA_ADJUSTED=GAAP","Sort=A","Dates=H","DateFormat=P","Fill=—","Direction=H","UseDPDF=Y")</f>
        <v>0</v>
      </c>
      <c r="I21" s="13">
        <f>_xll.BDH("AMZN US Equity","IS_INC_TAX_EXP","FQ3 2000","FQ3 2000","Currency=USD","Period=FQ","BEST_FPERIOD_OVERRIDE=FQ","FILING_STATUS=OR","SCALING_FORMAT=MLN","FA_ADJUSTED=GAAP","Sort=A","Dates=H","DateFormat=P","Fill=—","Direction=H","UseDPDF=Y")</f>
        <v>0</v>
      </c>
      <c r="J21" s="13">
        <f>_xll.BDH("AMZN US Equity","IS_INC_TAX_EXP","FQ4 2000","FQ4 2000","Currency=USD","Period=FQ","BEST_FPERIOD_OVERRIDE=FQ","FILING_STATUS=OR","SCALING_FORMAT=MLN","FA_ADJUSTED=GAAP","Sort=A","Dates=H","DateFormat=P","Fill=—","Direction=H","UseDPDF=Y")</f>
        <v>0</v>
      </c>
      <c r="K21" s="13">
        <f>_xll.BDH("AMZN US Equity","IS_INC_TAX_EXP","FQ1 2001","FQ1 2001","Currency=USD","Period=FQ","BEST_FPERIOD_OVERRIDE=FQ","FILING_STATUS=OR","SCALING_FORMAT=MLN","FA_ADJUSTED=GAAP","Sort=A","Dates=H","DateFormat=P","Fill=—","Direction=H","UseDPDF=Y")</f>
        <v>0</v>
      </c>
      <c r="L21" s="13">
        <f>_xll.BDH("AMZN US Equity","IS_INC_TAX_EXP","FQ2 2001","FQ2 2001","Currency=USD","Period=FQ","BEST_FPERIOD_OVERRIDE=FQ","FILING_STATUS=OR","SCALING_FORMAT=MLN","FA_ADJUSTED=GAAP","Sort=A","Dates=H","DateFormat=P","Fill=—","Direction=H","UseDPDF=Y")</f>
        <v>0</v>
      </c>
      <c r="M21" s="13">
        <f>_xll.BDH("AMZN US Equity","IS_INC_TAX_EXP","FQ3 2001","FQ3 2001","Currency=USD","Period=FQ","BEST_FPERIOD_OVERRIDE=FQ","FILING_STATUS=OR","SCALING_FORMAT=MLN","FA_ADJUSTED=GAAP","Sort=A","Dates=H","DateFormat=P","Fill=—","Direction=H","UseDPDF=Y")</f>
        <v>0</v>
      </c>
      <c r="N21" s="13">
        <f>_xll.BDH("AMZN US Equity","IS_INC_TAX_EXP","FQ4 2001","FQ4 2001","Currency=USD","Period=FQ","BEST_FPERIOD_OVERRIDE=FQ","FILING_STATUS=OR","SCALING_FORMAT=MLN","FA_ADJUSTED=GAAP","Sort=A","Dates=H","DateFormat=P","Fill=—","Direction=H","UseDPDF=Y")</f>
        <v>0</v>
      </c>
      <c r="O21" s="13">
        <f>_xll.BDH("AMZN US Equity","IS_INC_TAX_EXP","FQ1 2002","FQ1 2002","Currency=USD","Period=FQ","BEST_FPERIOD_OVERRIDE=FQ","FILING_STATUS=OR","SCALING_FORMAT=MLN","FA_ADJUSTED=GAAP","Sort=A","Dates=H","DateFormat=P","Fill=—","Direction=H","UseDPDF=Y")</f>
        <v>0</v>
      </c>
      <c r="P21" s="13">
        <f>_xll.BDH("AMZN US Equity","IS_INC_TAX_EXP","FQ2 2002","FQ2 2002","Currency=USD","Period=FQ","BEST_FPERIOD_OVERRIDE=FQ","FILING_STATUS=OR","SCALING_FORMAT=MLN","FA_ADJUSTED=GAAP","Sort=A","Dates=H","DateFormat=P","Fill=—","Direction=H","UseDPDF=Y")</f>
        <v>0</v>
      </c>
      <c r="Q21" s="13">
        <f>_xll.BDH("AMZN US Equity","IS_INC_TAX_EXP","FQ3 2002","FQ3 2002","Currency=USD","Period=FQ","BEST_FPERIOD_OVERRIDE=FQ","FILING_STATUS=OR","SCALING_FORMAT=MLN","FA_ADJUSTED=GAAP","Sort=A","Dates=H","DateFormat=P","Fill=—","Direction=H","UseDPDF=Y")</f>
        <v>0</v>
      </c>
      <c r="R21" s="13">
        <f>_xll.BDH("AMZN US Equity","IS_INC_TAX_EXP","FQ4 2002","FQ4 2002","Currency=USD","Period=FQ","BEST_FPERIOD_OVERRIDE=FQ","FILING_STATUS=OR","SCALING_FORMAT=MLN","FA_ADJUSTED=GAAP","Sort=A","Dates=H","DateFormat=P","Fill=—","Direction=H","UseDPDF=Y")</f>
        <v>0</v>
      </c>
      <c r="S21" s="13">
        <f>_xll.BDH("AMZN US Equity","IS_INC_TAX_EXP","FQ1 2003","FQ1 2003","Currency=USD","Period=FQ","BEST_FPERIOD_OVERRIDE=FQ","FILING_STATUS=OR","SCALING_FORMAT=MLN","FA_ADJUSTED=GAAP","Sort=A","Dates=H","DateFormat=P","Fill=—","Direction=H","UseDPDF=Y")</f>
        <v>0</v>
      </c>
      <c r="T21" s="13">
        <f>_xll.BDH("AMZN US Equity","IS_INC_TAX_EXP","FQ2 2003","FQ2 2003","Currency=USD","Period=FQ","BEST_FPERIOD_OVERRIDE=FQ","FILING_STATUS=OR","SCALING_FORMAT=MLN","FA_ADJUSTED=GAAP","Sort=A","Dates=H","DateFormat=P","Fill=—","Direction=H","UseDPDF=Y")</f>
        <v>0</v>
      </c>
      <c r="U21" s="13">
        <f>_xll.BDH("AMZN US Equity","IS_INC_TAX_EXP","FQ3 2003","FQ3 2003","Currency=USD","Period=FQ","BEST_FPERIOD_OVERRIDE=FQ","FILING_STATUS=OR","SCALING_FORMAT=MLN","FA_ADJUSTED=GAAP","Sort=A","Dates=H","DateFormat=P","Fill=—","Direction=H","UseDPDF=Y")</f>
        <v>0</v>
      </c>
      <c r="V21" s="13">
        <f>_xll.BDH("AMZN US Equity","IS_INC_TAX_EXP","FQ4 2003","FQ4 2003","Currency=USD","Period=FQ","BEST_FPERIOD_OVERRIDE=FQ","FILING_STATUS=OR","SCALING_FORMAT=MLN","FA_ADJUSTED=GAAP","Sort=A","Dates=H","DateFormat=P","Fill=—","Direction=H","UseDPDF=Y")</f>
        <v>0</v>
      </c>
      <c r="W21" s="13">
        <f>_xll.BDH("AMZN US Equity","IS_INC_TAX_EXP","FQ1 2004","FQ1 2004","Currency=USD","Period=FQ","BEST_FPERIOD_OVERRIDE=FQ","FILING_STATUS=OR","SCALING_FORMAT=MLN","FA_ADJUSTED=GAAP","Sort=A","Dates=H","DateFormat=P","Fill=—","Direction=H","UseDPDF=Y")</f>
        <v>0</v>
      </c>
      <c r="X21" s="13">
        <f>_xll.BDH("AMZN US Equity","IS_INC_TAX_EXP","FQ2 2004","FQ2 2004","Currency=USD","Period=FQ","BEST_FPERIOD_OVERRIDE=FQ","FILING_STATUS=OR","SCALING_FORMAT=MLN","FA_ADJUSTED=GAAP","Sort=A","Dates=H","DateFormat=P","Fill=—","Direction=H","UseDPDF=Y")</f>
        <v>0</v>
      </c>
      <c r="Y21" s="13">
        <f>_xll.BDH("AMZN US Equity","IS_INC_TAX_EXP","FQ3 2004","FQ3 2004","Currency=USD","Period=FQ","BEST_FPERIOD_OVERRIDE=FQ","FILING_STATUS=OR","SCALING_FORMAT=MLN","FA_ADJUSTED=GAAP","Sort=A","Dates=H","DateFormat=P","Fill=—","Direction=H","UseDPDF=Y")</f>
        <v>0</v>
      </c>
      <c r="Z21" s="13">
        <f>_xll.BDH("AMZN US Equity","IS_INC_TAX_EXP","FQ4 2004","FQ4 2004","Currency=USD","Period=FQ","BEST_FPERIOD_OVERRIDE=FQ","FILING_STATUS=OR","SCALING_FORMAT=MLN","FA_ADJUSTED=GAAP","Sort=A","Dates=H","DateFormat=P","Fill=—","Direction=H","UseDPDF=Y")</f>
        <v>-232.58099999999999</v>
      </c>
      <c r="AA21" s="13">
        <f>_xll.BDH("AMZN US Equity","IS_INC_TAX_EXP","FQ1 2005","FQ1 2005","Currency=USD","Period=FQ","BEST_FPERIOD_OVERRIDE=FQ","FILING_STATUS=OR","SCALING_FORMAT=MLN","FA_ADJUSTED=GAAP","Sort=A","Dates=H","DateFormat=P","Fill=—","Direction=H","UseDPDF=Y")</f>
        <v>56</v>
      </c>
      <c r="AB21" s="13">
        <f>_xll.BDH("AMZN US Equity","IS_INC_TAX_EXP","FQ2 2005","FQ2 2005","Currency=USD","Period=FQ","BEST_FPERIOD_OVERRIDE=FQ","FILING_STATUS=OR","SCALING_FORMAT=MLN","FA_ADJUSTED=GAAP","Sort=A","Dates=H","DateFormat=P","Fill=—","Direction=H","UseDPDF=Y")</f>
        <v>56</v>
      </c>
      <c r="AC21" s="13">
        <f>_xll.BDH("AMZN US Equity","IS_INC_TAX_EXP","FQ3 2005","FQ3 2005","Currency=USD","Period=FQ","BEST_FPERIOD_OVERRIDE=FQ","FILING_STATUS=OR","SCALING_FORMAT=MLN","FA_ADJUSTED=GAAP","Sort=A","Dates=H","DateFormat=P","Fill=—","Direction=H","UseDPDF=Y")</f>
        <v>21</v>
      </c>
      <c r="AD21" s="13">
        <f>_xll.BDH("AMZN US Equity","IS_INC_TAX_EXP","FQ4 2005","FQ4 2005","Currency=USD","Period=FQ","BEST_FPERIOD_OVERRIDE=FQ","FILING_STATUS=OR","SCALING_FORMAT=MLN","FA_ADJUSTED=GAAP","Sort=A","Dates=H","DateFormat=P","Fill=—","Direction=H","UseDPDF=Y")</f>
        <v>-38</v>
      </c>
      <c r="AE21" s="13">
        <f>_xll.BDH("AMZN US Equity","IS_INC_TAX_EXP","FQ1 2006","FQ1 2006","Currency=USD","Period=FQ","BEST_FPERIOD_OVERRIDE=FQ","FILING_STATUS=OR","SCALING_FORMAT=MLN","FA_ADJUSTED=GAAP","Sort=A","Dates=H","DateFormat=P","Fill=—","Direction=H","UseDPDF=Y")</f>
        <v>45</v>
      </c>
      <c r="AF21" s="13">
        <f>_xll.BDH("AMZN US Equity","IS_INC_TAX_EXP","FQ2 2006","FQ2 2006","Currency=USD","Period=FQ","BEST_FPERIOD_OVERRIDE=FQ","FILING_STATUS=OR","SCALING_FORMAT=MLN","FA_ADJUSTED=GAAP","Sort=A","Dates=H","DateFormat=P","Fill=—","Direction=H","UseDPDF=Y")</f>
        <v>32</v>
      </c>
      <c r="AG21" s="13">
        <f>_xll.BDH("AMZN US Equity","IS_INC_TAX_EXP","FQ3 2006","FQ3 2006","Currency=USD","Period=FQ","BEST_FPERIOD_OVERRIDE=FQ","FILING_STATUS=OR","SCALING_FORMAT=MLN","FA_ADJUSTED=GAAP","Sort=A","Dates=H","DateFormat=P","Fill=—","Direction=H","UseDPDF=Y")</f>
        <v>19</v>
      </c>
      <c r="AH21" s="13">
        <f>_xll.BDH("AMZN US Equity","IS_INC_TAX_EXP","FQ4 2006","FQ4 2006","Currency=USD","Period=FQ","BEST_FPERIOD_OVERRIDE=FQ","FILING_STATUS=OR","SCALING_FORMAT=MLN","FA_ADJUSTED=GAAP","Sort=A","Dates=H","DateFormat=P","Fill=—","Direction=H","UseDPDF=Y")</f>
        <v>91</v>
      </c>
      <c r="AI21" s="13">
        <f>_xll.BDH("AMZN US Equity","IS_INC_TAX_EXP","FQ1 2007","FQ1 2007","Currency=USD","Period=FQ","BEST_FPERIOD_OVERRIDE=FQ","FILING_STATUS=OR","SCALING_FORMAT=MLN","FA_ADJUSTED=GAAP","Sort=A","Dates=H","DateFormat=P","Fill=—","Direction=H","UseDPDF=Y")</f>
        <v>33</v>
      </c>
      <c r="AJ21" s="13">
        <f>_xll.BDH("AMZN US Equity","IS_INC_TAX_EXP","FQ2 2007","FQ2 2007","Currency=USD","Period=FQ","BEST_FPERIOD_OVERRIDE=FQ","FILING_STATUS=OR","SCALING_FORMAT=MLN","FA_ADJUSTED=GAAP","Sort=A","Dates=H","DateFormat=P","Fill=—","Direction=H","UseDPDF=Y")</f>
        <v>33</v>
      </c>
      <c r="AK21" s="13">
        <f>_xll.BDH("AMZN US Equity","IS_INC_TAX_EXP","FQ3 2007","FQ3 2007","Currency=USD","Period=FQ","BEST_FPERIOD_OVERRIDE=FQ","FILING_STATUS=OR","SCALING_FORMAT=MLN","FA_ADJUSTED=GAAP","Sort=A","Dates=H","DateFormat=P","Fill=—","Direction=H","UseDPDF=Y")</f>
        <v>44</v>
      </c>
      <c r="AL21" s="13">
        <f>_xll.BDH("AMZN US Equity","IS_INC_TAX_EXP","FQ4 2007","FQ4 2007","Currency=USD","Period=FQ","BEST_FPERIOD_OVERRIDE=FQ","FILING_STATUS=OR","SCALING_FORMAT=MLN","FA_ADJUSTED=GAAP","Sort=A","Dates=H","DateFormat=P","Fill=—","Direction=H","UseDPDF=Y")</f>
        <v>74</v>
      </c>
      <c r="AM21" s="13">
        <f>_xll.BDH("AMZN US Equity","IS_INC_TAX_EXP","FQ1 2008","FQ1 2008","Currency=USD","Period=FQ","BEST_FPERIOD_OVERRIDE=FQ","FILING_STATUS=OR","SCALING_FORMAT=MLN","FA_ADJUSTED=GAAP","Sort=A","Dates=H","DateFormat=P","Fill=—","Direction=H","UseDPDF=Y")</f>
        <v>62</v>
      </c>
      <c r="AN21" s="13">
        <f>_xll.BDH("AMZN US Equity","IS_INC_TAX_EXP","FQ2 2008","FQ2 2008","Currency=USD","Period=FQ","BEST_FPERIOD_OVERRIDE=FQ","FILING_STATUS=OR","SCALING_FORMAT=MLN","FA_ADJUSTED=GAAP","Sort=A","Dates=H","DateFormat=P","Fill=—","Direction=H","UseDPDF=Y")</f>
        <v>46</v>
      </c>
      <c r="AO21" s="13">
        <f>_xll.BDH("AMZN US Equity","IS_INC_TAX_EXP","FQ3 2008","FQ3 2008","Currency=USD","Period=FQ","BEST_FPERIOD_OVERRIDE=FQ","FILING_STATUS=OR","SCALING_FORMAT=MLN","FA_ADJUSTED=GAAP","Sort=A","Dates=H","DateFormat=P","Fill=—","Direction=H","UseDPDF=Y")</f>
        <v>59</v>
      </c>
      <c r="AP21" s="13">
        <f>_xll.BDH("AMZN US Equity","IS_INC_TAX_EXP","FQ4 2008","FQ4 2008","Currency=USD","Period=FQ","BEST_FPERIOD_OVERRIDE=FQ","FILING_STATUS=OR","SCALING_FORMAT=MLN","FA_ADJUSTED=GAAP","Sort=A","Dates=H","DateFormat=P","Fill=—","Direction=H","UseDPDF=Y")</f>
        <v>79</v>
      </c>
    </row>
    <row r="22" spans="1:42" x14ac:dyDescent="0.25">
      <c r="A22" s="6" t="s">
        <v>117</v>
      </c>
      <c r="B22" s="6" t="s">
        <v>118</v>
      </c>
      <c r="C22" s="16">
        <f>_xll.BDH("AMZN US Equity","IS_INC_BEF_XO_ITEM","FQ4 1998","FQ4 1998","Currency=USD","Period=FQ","BEST_FPERIOD_OVERRIDE=FQ","FILING_STATUS=OR","SCALING_FORMAT=MLN","Sort=A","Dates=H","DateFormat=P","Fill=—","Direction=H","UseDPDF=Y")</f>
        <v>-46.427</v>
      </c>
      <c r="D22" s="16">
        <f>_xll.BDH("AMZN US Equity","IS_INC_BEF_XO_ITEM","FQ1 1999","FQ1 1999","Currency=USD","Period=FQ","BEST_FPERIOD_OVERRIDE=FQ","FILING_STATUS=OR","SCALING_FORMAT=MLN","Sort=A","Dates=H","DateFormat=P","Fill=—","Direction=H","UseDPDF=Y")</f>
        <v>-61.667000000000002</v>
      </c>
      <c r="E22" s="16">
        <f>_xll.BDH("AMZN US Equity","IS_INC_BEF_XO_ITEM","FQ2 1999","FQ2 1999","Currency=USD","Period=FQ","BEST_FPERIOD_OVERRIDE=FQ","FILING_STATUS=OR","SCALING_FORMAT=MLN","Sort=A","Dates=H","DateFormat=P","Fill=—","Direction=H","UseDPDF=Y")</f>
        <v>-138.00800000000001</v>
      </c>
      <c r="F22" s="16">
        <f>_xll.BDH("AMZN US Equity","IS_INC_BEF_XO_ITEM","FQ3 1999","FQ3 1999","Currency=USD","Period=FQ","BEST_FPERIOD_OVERRIDE=FQ","FILING_STATUS=OR","SCALING_FORMAT=MLN","Sort=A","Dates=H","DateFormat=P","Fill=—","Direction=H","UseDPDF=Y")</f>
        <v>-197.08</v>
      </c>
      <c r="G22" s="16">
        <f>_xll.BDH("AMZN US Equity","IS_INC_BEF_XO_ITEM","FQ4 1999","FQ4 1999","Currency=USD","Period=FQ","BEST_FPERIOD_OVERRIDE=FQ","FILING_STATUS=OR","SCALING_FORMAT=MLN","Sort=A","Dates=H","DateFormat=P","Fill=—","Direction=H","UseDPDF=Y")</f>
        <v>-323.21300000000002</v>
      </c>
      <c r="H22" s="16">
        <f>_xll.BDH("AMZN US Equity","IS_INC_BEF_XO_ITEM","FQ1 2000","FQ1 2000","Currency=USD","Period=FQ","BEST_FPERIOD_OVERRIDE=FQ","FILING_STATUS=OR","SCALING_FORMAT=MLN","Sort=A","Dates=H","DateFormat=P","Fill=—","Direction=H","UseDPDF=Y")</f>
        <v>-308.42500000000001</v>
      </c>
      <c r="I22" s="16">
        <f>_xll.BDH("AMZN US Equity","IS_INC_BEF_XO_ITEM","FQ3 2000","FQ3 2000","Currency=USD","Period=FQ","BEST_FPERIOD_OVERRIDE=FQ","FILING_STATUS=OR","SCALING_FORMAT=MLN","Sort=A","Dates=H","DateFormat=P","Fill=—","Direction=H","UseDPDF=Y")</f>
        <v>-240.524</v>
      </c>
      <c r="J22" s="16">
        <f>_xll.BDH("AMZN US Equity","IS_INC_BEF_XO_ITEM","FQ4 2000","FQ4 2000","Currency=USD","Period=FQ","BEST_FPERIOD_OVERRIDE=FQ","FILING_STATUS=OR","SCALING_FORMAT=MLN","Sort=A","Dates=H","DateFormat=P","Fill=—","Direction=H","UseDPDF=Y")</f>
        <v>-545.14</v>
      </c>
      <c r="K22" s="16">
        <f>_xll.BDH("AMZN US Equity","IS_INC_BEF_XO_ITEM","FQ1 2001","FQ1 2001","Currency=USD","Period=FQ","BEST_FPERIOD_OVERRIDE=FQ","FILING_STATUS=OR","SCALING_FORMAT=MLN","Sort=A","Dates=H","DateFormat=P","Fill=—","Direction=H","UseDPDF=Y")</f>
        <v>-223.608</v>
      </c>
      <c r="L22" s="16">
        <f>_xll.BDH("AMZN US Equity","IS_INC_BEF_XO_ITEM","FQ2 2001","FQ2 2001","Currency=USD","Period=FQ","BEST_FPERIOD_OVERRIDE=FQ","FILING_STATUS=OR","SCALING_FORMAT=MLN","Sort=A","Dates=H","DateFormat=P","Fill=—","Direction=H","UseDPDF=Y")</f>
        <v>-168.35900000000001</v>
      </c>
      <c r="M22" s="16">
        <f>_xll.BDH("AMZN US Equity","IS_INC_BEF_XO_ITEM","FQ3 2001","FQ3 2001","Currency=USD","Period=FQ","BEST_FPERIOD_OVERRIDE=FQ","FILING_STATUS=OR","SCALING_FORMAT=MLN","Sort=A","Dates=H","DateFormat=P","Fill=—","Direction=H","UseDPDF=Y")</f>
        <v>-169.874</v>
      </c>
      <c r="N22" s="16">
        <f>_xll.BDH("AMZN US Equity","IS_INC_BEF_XO_ITEM","FQ4 2001","FQ4 2001","Currency=USD","Period=FQ","BEST_FPERIOD_OVERRIDE=FQ","FILING_STATUS=OR","SCALING_FORMAT=MLN","Sort=A","Dates=H","DateFormat=P","Fill=—","Direction=H","UseDPDF=Y")</f>
        <v>5.0869999999999997</v>
      </c>
      <c r="O22" s="16">
        <f>_xll.BDH("AMZN US Equity","IS_INC_BEF_XO_ITEM","FQ1 2002","FQ1 2002","Currency=USD","Period=FQ","BEST_FPERIOD_OVERRIDE=FQ","FILING_STATUS=OR","SCALING_FORMAT=MLN","Sort=A","Dates=H","DateFormat=P","Fill=—","Direction=H","UseDPDF=Y")</f>
        <v>-23.951000000000001</v>
      </c>
      <c r="P22" s="16">
        <f>_xll.BDH("AMZN US Equity","IS_INC_BEF_XO_ITEM","FQ2 2002","FQ2 2002","Currency=USD","Period=FQ","BEST_FPERIOD_OVERRIDE=FQ","FILING_STATUS=OR","SCALING_FORMAT=MLN","Sort=A","Dates=H","DateFormat=P","Fill=—","Direction=H","UseDPDF=Y")</f>
        <v>-93.552999999999997</v>
      </c>
      <c r="Q22" s="16">
        <f>_xll.BDH("AMZN US Equity","IS_INC_BEF_XO_ITEM","FQ3 2002","FQ3 2002","Currency=USD","Period=FQ","BEST_FPERIOD_OVERRIDE=FQ","FILING_STATUS=OR","SCALING_FORMAT=MLN","Sort=A","Dates=H","DateFormat=P","Fill=—","Direction=H","UseDPDF=Y")</f>
        <v>-35.08</v>
      </c>
      <c r="R22" s="16">
        <f>_xll.BDH("AMZN US Equity","IS_INC_BEF_XO_ITEM","FQ4 2002","FQ4 2002","Currency=USD","Period=FQ","BEST_FPERIOD_OVERRIDE=FQ","FILING_STATUS=OR","SCALING_FORMAT=MLN","Sort=A","Dates=H","DateFormat=P","Fill=—","Direction=H","UseDPDF=Y")</f>
        <v>2.6509999999999998</v>
      </c>
      <c r="S22" s="16">
        <f>_xll.BDH("AMZN US Equity","IS_INC_BEF_XO_ITEM","FQ1 2003","FQ1 2003","Currency=USD","Period=FQ","BEST_FPERIOD_OVERRIDE=FQ","FILING_STATUS=OR","SCALING_FORMAT=MLN","Sort=A","Dates=H","DateFormat=P","Fill=—","Direction=H","UseDPDF=Y")</f>
        <v>-10.121</v>
      </c>
      <c r="T22" s="16">
        <f>_xll.BDH("AMZN US Equity","IS_INC_BEF_XO_ITEM","FQ2 2003","FQ2 2003","Currency=USD","Period=FQ","BEST_FPERIOD_OVERRIDE=FQ","FILING_STATUS=OR","SCALING_FORMAT=MLN","Sort=A","Dates=H","DateFormat=P","Fill=—","Direction=H","UseDPDF=Y")</f>
        <v>-43.314</v>
      </c>
      <c r="U22" s="16">
        <f>_xll.BDH("AMZN US Equity","IS_INC_BEF_XO_ITEM","FQ3 2003","FQ3 2003","Currency=USD","Period=FQ","BEST_FPERIOD_OVERRIDE=FQ","FILING_STATUS=OR","SCALING_FORMAT=MLN","Sort=A","Dates=H","DateFormat=P","Fill=—","Direction=H","UseDPDF=Y")</f>
        <v>15.563000000000001</v>
      </c>
      <c r="V22" s="16">
        <f>_xll.BDH("AMZN US Equity","IS_INC_BEF_XO_ITEM","FQ4 2003","FQ4 2003","Currency=USD","Period=FQ","BEST_FPERIOD_OVERRIDE=FQ","FILING_STATUS=OR","SCALING_FORMAT=MLN","Sort=A","Dates=H","DateFormat=P","Fill=—","Direction=H","UseDPDF=Y")</f>
        <v>73.153999999999996</v>
      </c>
      <c r="W22" s="16">
        <f>_xll.BDH("AMZN US Equity","IS_INC_BEF_XO_ITEM","FQ1 2004","FQ1 2004","Currency=USD","Period=FQ","BEST_FPERIOD_OVERRIDE=FQ","FILING_STATUS=OR","SCALING_FORMAT=MLN","Sort=A","Dates=H","DateFormat=P","Fill=—","Direction=H","UseDPDF=Y")</f>
        <v>111.136</v>
      </c>
      <c r="X22" s="16">
        <f>_xll.BDH("AMZN US Equity","IS_INC_BEF_XO_ITEM","FQ2 2004","FQ2 2004","Currency=USD","Period=FQ","BEST_FPERIOD_OVERRIDE=FQ","FILING_STATUS=OR","SCALING_FORMAT=MLN","Sort=A","Dates=H","DateFormat=P","Fill=—","Direction=H","UseDPDF=Y")</f>
        <v>76.48</v>
      </c>
      <c r="Y22" s="16">
        <f>_xll.BDH("AMZN US Equity","IS_INC_BEF_XO_ITEM","FQ3 2004","FQ3 2004","Currency=USD","Period=FQ","BEST_FPERIOD_OVERRIDE=FQ","FILING_STATUS=OR","SCALING_FORMAT=MLN","Sort=A","Dates=H","DateFormat=P","Fill=—","Direction=H","UseDPDF=Y")</f>
        <v>54.146999999999998</v>
      </c>
      <c r="Z22" s="16">
        <f>_xll.BDH("AMZN US Equity","IS_INC_BEF_XO_ITEM","FQ4 2004","FQ4 2004","Currency=USD","Period=FQ","BEST_FPERIOD_OVERRIDE=FQ","FILING_STATUS=OR","SCALING_FORMAT=MLN","Sort=A","Dates=H","DateFormat=P","Fill=—","Direction=H","UseDPDF=Y")</f>
        <v>346.68799999999999</v>
      </c>
      <c r="AA22" s="16">
        <f>_xll.BDH("AMZN US Equity","IS_INC_BEF_XO_ITEM","FQ1 2005","FQ1 2005","Currency=USD","Period=FQ","BEST_FPERIOD_OVERRIDE=FQ","FILING_STATUS=OR","SCALING_FORMAT=MLN","Sort=A","Dates=H","DateFormat=P","Fill=—","Direction=H","UseDPDF=Y")</f>
        <v>52</v>
      </c>
      <c r="AB22" s="16">
        <f>_xll.BDH("AMZN US Equity","IS_INC_BEF_XO_ITEM","FQ2 2005","FQ2 2005","Currency=USD","Period=FQ","BEST_FPERIOD_OVERRIDE=FQ","FILING_STATUS=OR","SCALING_FORMAT=MLN","Sort=A","Dates=H","DateFormat=P","Fill=—","Direction=H","UseDPDF=Y")</f>
        <v>52</v>
      </c>
      <c r="AC22" s="16">
        <f>_xll.BDH("AMZN US Equity","IS_INC_BEF_XO_ITEM","FQ3 2005","FQ3 2005","Currency=USD","Period=FQ","BEST_FPERIOD_OVERRIDE=FQ","FILING_STATUS=OR","SCALING_FORMAT=MLN","Sort=A","Dates=H","DateFormat=P","Fill=—","Direction=H","UseDPDF=Y")</f>
        <v>30</v>
      </c>
      <c r="AD22" s="16">
        <f>_xll.BDH("AMZN US Equity","IS_INC_BEF_XO_ITEM","FQ4 2005","FQ4 2005","Currency=USD","Period=FQ","BEST_FPERIOD_OVERRIDE=FQ","FILING_STATUS=OR","SCALING_FORMAT=MLN","Sort=A","Dates=H","DateFormat=P","Fill=—","Direction=H","UseDPDF=Y")</f>
        <v>199</v>
      </c>
      <c r="AE22" s="16">
        <f>_xll.BDH("AMZN US Equity","IS_INC_BEF_XO_ITEM","FQ1 2006","FQ1 2006","Currency=USD","Period=FQ","BEST_FPERIOD_OVERRIDE=FQ","FILING_STATUS=OR","SCALING_FORMAT=MLN","Sort=A","Dates=H","DateFormat=P","Fill=—","Direction=H","UseDPDF=Y")</f>
        <v>51</v>
      </c>
      <c r="AF22" s="16">
        <f>_xll.BDH("AMZN US Equity","IS_INC_BEF_XO_ITEM","FQ2 2006","FQ2 2006","Currency=USD","Period=FQ","BEST_FPERIOD_OVERRIDE=FQ","FILING_STATUS=OR","SCALING_FORMAT=MLN","Sort=A","Dates=H","DateFormat=P","Fill=—","Direction=H","UseDPDF=Y")</f>
        <v>22</v>
      </c>
      <c r="AG22" s="16">
        <f>_xll.BDH("AMZN US Equity","IS_INC_BEF_XO_ITEM","FQ3 2006","FQ3 2006","Currency=USD","Period=FQ","BEST_FPERIOD_OVERRIDE=FQ","FILING_STATUS=OR","SCALING_FORMAT=MLN","Sort=A","Dates=H","DateFormat=P","Fill=—","Direction=H","UseDPDF=Y")</f>
        <v>19</v>
      </c>
      <c r="AH22" s="16">
        <f>_xll.BDH("AMZN US Equity","IS_INC_BEF_XO_ITEM","FQ4 2006","FQ4 2006","Currency=USD","Period=FQ","BEST_FPERIOD_OVERRIDE=FQ","FILING_STATUS=OR","SCALING_FORMAT=MLN","Sort=A","Dates=H","DateFormat=P","Fill=—","Direction=H","UseDPDF=Y")</f>
        <v>98</v>
      </c>
      <c r="AI22" s="16">
        <f>_xll.BDH("AMZN US Equity","IS_INC_BEF_XO_ITEM","FQ1 2007","FQ1 2007","Currency=USD","Period=FQ","BEST_FPERIOD_OVERRIDE=FQ","FILING_STATUS=OR","SCALING_FORMAT=MLN","Sort=A","Dates=H","DateFormat=P","Fill=—","Direction=H","UseDPDF=Y")</f>
        <v>111</v>
      </c>
      <c r="AJ22" s="16">
        <f>_xll.BDH("AMZN US Equity","IS_INC_BEF_XO_ITEM","FQ2 2007","FQ2 2007","Currency=USD","Period=FQ","BEST_FPERIOD_OVERRIDE=FQ","FILING_STATUS=OR","SCALING_FORMAT=MLN","Sort=A","Dates=H","DateFormat=P","Fill=—","Direction=H","UseDPDF=Y")</f>
        <v>78</v>
      </c>
      <c r="AK22" s="16">
        <f>_xll.BDH("AMZN US Equity","IS_INC_BEF_XO_ITEM","FQ3 2007","FQ3 2007","Currency=USD","Period=FQ","BEST_FPERIOD_OVERRIDE=FQ","FILING_STATUS=OR","SCALING_FORMAT=MLN","Sort=A","Dates=H","DateFormat=P","Fill=—","Direction=H","UseDPDF=Y")</f>
        <v>80</v>
      </c>
      <c r="AL22" s="16">
        <f>_xll.BDH("AMZN US Equity","IS_INC_BEF_XO_ITEM","FQ4 2007","FQ4 2007","Currency=USD","Period=FQ","BEST_FPERIOD_OVERRIDE=FQ","FILING_STATUS=OR","SCALING_FORMAT=MLN","Sort=A","Dates=H","DateFormat=P","Fill=—","Direction=H","UseDPDF=Y")</f>
        <v>207</v>
      </c>
      <c r="AM22" s="16">
        <f>_xll.BDH("AMZN US Equity","IS_INC_BEF_XO_ITEM","FQ1 2008","FQ1 2008","Currency=USD","Period=FQ","BEST_FPERIOD_OVERRIDE=FQ","FILING_STATUS=OR","SCALING_FORMAT=MLN","Sort=A","Dates=H","DateFormat=P","Fill=—","Direction=H","UseDPDF=Y")</f>
        <v>143</v>
      </c>
      <c r="AN22" s="16">
        <f>_xll.BDH("AMZN US Equity","IS_INC_BEF_XO_ITEM","FQ2 2008","FQ2 2008","Currency=USD","Period=FQ","BEST_FPERIOD_OVERRIDE=FQ","FILING_STATUS=OR","SCALING_FORMAT=MLN","Sort=A","Dates=H","DateFormat=P","Fill=—","Direction=H","UseDPDF=Y")</f>
        <v>158</v>
      </c>
      <c r="AO22" s="16">
        <f>_xll.BDH("AMZN US Equity","IS_INC_BEF_XO_ITEM","FQ3 2008","FQ3 2008","Currency=USD","Period=FQ","BEST_FPERIOD_OVERRIDE=FQ","FILING_STATUS=OR","SCALING_FORMAT=MLN","Sort=A","Dates=H","DateFormat=P","Fill=—","Direction=H","UseDPDF=Y")</f>
        <v>118</v>
      </c>
      <c r="AP22" s="16">
        <f>_xll.BDH("AMZN US Equity","IS_INC_BEF_XO_ITEM","FQ4 2008","FQ4 2008","Currency=USD","Period=FQ","BEST_FPERIOD_OVERRIDE=FQ","FILING_STATUS=OR","SCALING_FORMAT=MLN","Sort=A","Dates=H","DateFormat=P","Fill=—","Direction=H","UseDPDF=Y")</f>
        <v>225</v>
      </c>
    </row>
    <row r="23" spans="1:42" x14ac:dyDescent="0.25">
      <c r="A23" s="10" t="s">
        <v>119</v>
      </c>
      <c r="B23" s="10" t="s">
        <v>120</v>
      </c>
      <c r="C23" s="13">
        <f>_xll.BDH("AMZN US Equity","XO_GL_NET_OF_TAX","FQ4 1998","FQ4 1998","Currency=USD","Period=FQ","BEST_FPERIOD_OVERRIDE=FQ","FILING_STATUS=OR","SCALING_FORMAT=MLN","Sort=A","Dates=H","DateFormat=P","Fill=—","Direction=H","UseDPDF=Y")</f>
        <v>0</v>
      </c>
      <c r="D23" s="13">
        <f>_xll.BDH("AMZN US Equity","XO_GL_NET_OF_TAX","FQ1 1999","FQ1 1999","Currency=USD","Period=FQ","BEST_FPERIOD_OVERRIDE=FQ","FILING_STATUS=OR","SCALING_FORMAT=MLN","Sort=A","Dates=H","DateFormat=P","Fill=—","Direction=H","UseDPDF=Y")</f>
        <v>0</v>
      </c>
      <c r="E23" s="13">
        <f>_xll.BDH("AMZN US Equity","XO_GL_NET_OF_TAX","FQ2 1999","FQ2 1999","Currency=USD","Period=FQ","BEST_FPERIOD_OVERRIDE=FQ","FILING_STATUS=OR","SCALING_FORMAT=MLN","Sort=A","Dates=H","DateFormat=P","Fill=—","Direction=H","UseDPDF=Y")</f>
        <v>0</v>
      </c>
      <c r="F23" s="13">
        <f>_xll.BDH("AMZN US Equity","XO_GL_NET_OF_TAX","FQ3 1999","FQ3 1999","Currency=USD","Period=FQ","BEST_FPERIOD_OVERRIDE=FQ","FILING_STATUS=OR","SCALING_FORMAT=MLN","Sort=A","Dates=H","DateFormat=P","Fill=—","Direction=H","UseDPDF=Y")</f>
        <v>0</v>
      </c>
      <c r="G23" s="13">
        <f>_xll.BDH("AMZN US Equity","XO_GL_NET_OF_TAX","FQ4 1999","FQ4 1999","Currency=USD","Period=FQ","BEST_FPERIOD_OVERRIDE=FQ","FILING_STATUS=OR","SCALING_FORMAT=MLN","Sort=A","Dates=H","DateFormat=P","Fill=—","Direction=H","UseDPDF=Y")</f>
        <v>0</v>
      </c>
      <c r="H23" s="13">
        <f>_xll.BDH("AMZN US Equity","XO_GL_NET_OF_TAX","FQ1 2000","FQ1 2000","Currency=USD","Period=FQ","BEST_FPERIOD_OVERRIDE=FQ","FILING_STATUS=OR","SCALING_FORMAT=MLN","Sort=A","Dates=H","DateFormat=P","Fill=—","Direction=H","UseDPDF=Y")</f>
        <v>0</v>
      </c>
      <c r="I23" s="13">
        <f>_xll.BDH("AMZN US Equity","XO_GL_NET_OF_TAX","FQ3 2000","FQ3 2000","Currency=USD","Period=FQ","BEST_FPERIOD_OVERRIDE=FQ","FILING_STATUS=OR","SCALING_FORMAT=MLN","Sort=A","Dates=H","DateFormat=P","Fill=—","Direction=H","UseDPDF=Y")</f>
        <v>0</v>
      </c>
      <c r="J23" s="13">
        <f>_xll.BDH("AMZN US Equity","XO_GL_NET_OF_TAX","FQ4 2000","FQ4 2000","Currency=USD","Period=FQ","BEST_FPERIOD_OVERRIDE=FQ","FILING_STATUS=OR","SCALING_FORMAT=MLN","Sort=A","Dates=H","DateFormat=P","Fill=—","Direction=H","UseDPDF=Y")</f>
        <v>0</v>
      </c>
      <c r="K23" s="13">
        <f>_xll.BDH("AMZN US Equity","XO_GL_NET_OF_TAX","FQ1 2001","FQ1 2001","Currency=USD","Period=FQ","BEST_FPERIOD_OVERRIDE=FQ","FILING_STATUS=OR","SCALING_FORMAT=MLN","Sort=A","Dates=H","DateFormat=P","Fill=—","Direction=H","UseDPDF=Y")</f>
        <v>10.523</v>
      </c>
      <c r="L23" s="13">
        <f>_xll.BDH("AMZN US Equity","XO_GL_NET_OF_TAX","FQ2 2001","FQ2 2001","Currency=USD","Period=FQ","BEST_FPERIOD_OVERRIDE=FQ","FILING_STATUS=OR","SCALING_FORMAT=MLN","Sort=A","Dates=H","DateFormat=P","Fill=—","Direction=H","UseDPDF=Y")</f>
        <v>0</v>
      </c>
      <c r="M23" s="13">
        <f>_xll.BDH("AMZN US Equity","XO_GL_NET_OF_TAX","FQ3 2001","FQ3 2001","Currency=USD","Period=FQ","BEST_FPERIOD_OVERRIDE=FQ","FILING_STATUS=OR","SCALING_FORMAT=MLN","Sort=A","Dates=H","DateFormat=P","Fill=—","Direction=H","UseDPDF=Y")</f>
        <v>0</v>
      </c>
      <c r="N23" s="13">
        <f>_xll.BDH("AMZN US Equity","XO_GL_NET_OF_TAX","FQ4 2001","FQ4 2001","Currency=USD","Period=FQ","BEST_FPERIOD_OVERRIDE=FQ","FILING_STATUS=OR","SCALING_FORMAT=MLN","Sort=A","Dates=H","DateFormat=P","Fill=—","Direction=H","UseDPDF=Y")</f>
        <v>0</v>
      </c>
      <c r="O23" s="13">
        <f>_xll.BDH("AMZN US Equity","XO_GL_NET_OF_TAX","FQ1 2002","FQ1 2002","Currency=USD","Period=FQ","BEST_FPERIOD_OVERRIDE=FQ","FILING_STATUS=OR","SCALING_FORMAT=MLN","Sort=A","Dates=H","DateFormat=P","Fill=—","Direction=H","UseDPDF=Y")</f>
        <v>-0.80100000000000005</v>
      </c>
      <c r="P23" s="13">
        <f>_xll.BDH("AMZN US Equity","XO_GL_NET_OF_TAX","FQ2 2002","FQ2 2002","Currency=USD","Period=FQ","BEST_FPERIOD_OVERRIDE=FQ","FILING_STATUS=OR","SCALING_FORMAT=MLN","Sort=A","Dates=H","DateFormat=P","Fill=—","Direction=H","UseDPDF=Y")</f>
        <v>0</v>
      </c>
      <c r="Q23" s="13">
        <f>_xll.BDH("AMZN US Equity","XO_GL_NET_OF_TAX","FQ3 2002","FQ3 2002","Currency=USD","Period=FQ","BEST_FPERIOD_OVERRIDE=FQ","FILING_STATUS=OR","SCALING_FORMAT=MLN","Sort=A","Dates=H","DateFormat=P","Fill=—","Direction=H","UseDPDF=Y")</f>
        <v>0</v>
      </c>
      <c r="R23" s="13">
        <f>_xll.BDH("AMZN US Equity","XO_GL_NET_OF_TAX","FQ4 2002","FQ4 2002","Currency=USD","Period=FQ","BEST_FPERIOD_OVERRIDE=FQ","FILING_STATUS=OR","SCALING_FORMAT=MLN","Sort=A","Dates=H","DateFormat=P","Fill=—","Direction=H","UseDPDF=Y")</f>
        <v>0</v>
      </c>
      <c r="S23" s="13">
        <f>_xll.BDH("AMZN US Equity","XO_GL_NET_OF_TAX","FQ1 2003","FQ1 2003","Currency=USD","Period=FQ","BEST_FPERIOD_OVERRIDE=FQ","FILING_STATUS=OR","SCALING_FORMAT=MLN","Sort=A","Dates=H","DateFormat=P","Fill=—","Direction=H","UseDPDF=Y")</f>
        <v>0</v>
      </c>
      <c r="T23" s="13">
        <f>_xll.BDH("AMZN US Equity","XO_GL_NET_OF_TAX","FQ2 2003","FQ2 2003","Currency=USD","Period=FQ","BEST_FPERIOD_OVERRIDE=FQ","FILING_STATUS=OR","SCALING_FORMAT=MLN","Sort=A","Dates=H","DateFormat=P","Fill=—","Direction=H","UseDPDF=Y")</f>
        <v>0</v>
      </c>
      <c r="U23" s="13">
        <f>_xll.BDH("AMZN US Equity","XO_GL_NET_OF_TAX","FQ3 2003","FQ3 2003","Currency=USD","Period=FQ","BEST_FPERIOD_OVERRIDE=FQ","FILING_STATUS=OR","SCALING_FORMAT=MLN","Sort=A","Dates=H","DateFormat=P","Fill=—","Direction=H","UseDPDF=Y")</f>
        <v>0</v>
      </c>
      <c r="V23" s="13">
        <f>_xll.BDH("AMZN US Equity","XO_GL_NET_OF_TAX","FQ4 2003","FQ4 2003","Currency=USD","Period=FQ","BEST_FPERIOD_OVERRIDE=FQ","FILING_STATUS=OR","SCALING_FORMAT=MLN","Sort=A","Dates=H","DateFormat=P","Fill=—","Direction=H","UseDPDF=Y")</f>
        <v>0</v>
      </c>
      <c r="W23" s="13">
        <f>_xll.BDH("AMZN US Equity","XO_GL_NET_OF_TAX","FQ1 2004","FQ1 2004","Currency=USD","Period=FQ","BEST_FPERIOD_OVERRIDE=FQ","FILING_STATUS=OR","SCALING_FORMAT=MLN","Sort=A","Dates=H","DateFormat=P","Fill=—","Direction=H","UseDPDF=Y")</f>
        <v>0</v>
      </c>
      <c r="X23" s="13">
        <f>_xll.BDH("AMZN US Equity","XO_GL_NET_OF_TAX","FQ2 2004","FQ2 2004","Currency=USD","Period=FQ","BEST_FPERIOD_OVERRIDE=FQ","FILING_STATUS=OR","SCALING_FORMAT=MLN","Sort=A","Dates=H","DateFormat=P","Fill=—","Direction=H","UseDPDF=Y")</f>
        <v>0</v>
      </c>
      <c r="Y23" s="13">
        <f>_xll.BDH("AMZN US Equity","XO_GL_NET_OF_TAX","FQ3 2004","FQ3 2004","Currency=USD","Period=FQ","BEST_FPERIOD_OVERRIDE=FQ","FILING_STATUS=OR","SCALING_FORMAT=MLN","Sort=A","Dates=H","DateFormat=P","Fill=—","Direction=H","UseDPDF=Y")</f>
        <v>0</v>
      </c>
      <c r="Z23" s="13">
        <f>_xll.BDH("AMZN US Equity","XO_GL_NET_OF_TAX","FQ4 2004","FQ4 2004","Currency=USD","Period=FQ","BEST_FPERIOD_OVERRIDE=FQ","FILING_STATUS=OR","SCALING_FORMAT=MLN","Sort=A","Dates=H","DateFormat=P","Fill=—","Direction=H","UseDPDF=Y")</f>
        <v>0</v>
      </c>
      <c r="AA23" s="13">
        <f>_xll.BDH("AMZN US Equity","XO_GL_NET_OF_TAX","FQ1 2005","FQ1 2005","Currency=USD","Period=FQ","BEST_FPERIOD_OVERRIDE=FQ","FILING_STATUS=OR","SCALING_FORMAT=MLN","Sort=A","Dates=H","DateFormat=P","Fill=—","Direction=H","UseDPDF=Y")</f>
        <v>-26</v>
      </c>
      <c r="AB23" s="13">
        <f>_xll.BDH("AMZN US Equity","XO_GL_NET_OF_TAX","FQ2 2005","FQ2 2005","Currency=USD","Period=FQ","BEST_FPERIOD_OVERRIDE=FQ","FILING_STATUS=OR","SCALING_FORMAT=MLN","Sort=A","Dates=H","DateFormat=P","Fill=—","Direction=H","UseDPDF=Y")</f>
        <v>0</v>
      </c>
      <c r="AC23" s="13">
        <f>_xll.BDH("AMZN US Equity","XO_GL_NET_OF_TAX","FQ3 2005","FQ3 2005","Currency=USD","Period=FQ","BEST_FPERIOD_OVERRIDE=FQ","FILING_STATUS=OR","SCALING_FORMAT=MLN","Sort=A","Dates=H","DateFormat=P","Fill=—","Direction=H","UseDPDF=Y")</f>
        <v>0</v>
      </c>
      <c r="AD23" s="13">
        <f>_xll.BDH("AMZN US Equity","XO_GL_NET_OF_TAX","FQ4 2005","FQ4 2005","Currency=USD","Period=FQ","BEST_FPERIOD_OVERRIDE=FQ","FILING_STATUS=OR","SCALING_FORMAT=MLN","Sort=A","Dates=H","DateFormat=P","Fill=—","Direction=H","UseDPDF=Y")</f>
        <v>0</v>
      </c>
      <c r="AE23" s="13">
        <f>_xll.BDH("AMZN US Equity","XO_GL_NET_OF_TAX","FQ1 2006","FQ1 2006","Currency=USD","Period=FQ","BEST_FPERIOD_OVERRIDE=FQ","FILING_STATUS=OR","SCALING_FORMAT=MLN","Sort=A","Dates=H","DateFormat=P","Fill=—","Direction=H","UseDPDF=Y")</f>
        <v>0</v>
      </c>
      <c r="AF23" s="13">
        <f>_xll.BDH("AMZN US Equity","XO_GL_NET_OF_TAX","FQ2 2006","FQ2 2006","Currency=USD","Period=FQ","BEST_FPERIOD_OVERRIDE=FQ","FILING_STATUS=OR","SCALING_FORMAT=MLN","Sort=A","Dates=H","DateFormat=P","Fill=—","Direction=H","UseDPDF=Y")</f>
        <v>0</v>
      </c>
      <c r="AG23" s="13">
        <f>_xll.BDH("AMZN US Equity","XO_GL_NET_OF_TAX","FQ3 2006","FQ3 2006","Currency=USD","Period=FQ","BEST_FPERIOD_OVERRIDE=FQ","FILING_STATUS=OR","SCALING_FORMAT=MLN","Sort=A","Dates=H","DateFormat=P","Fill=—","Direction=H","UseDPDF=Y")</f>
        <v>0</v>
      </c>
      <c r="AH23" s="13">
        <f>_xll.BDH("AMZN US Equity","XO_GL_NET_OF_TAX","FQ4 2006","FQ4 2006","Currency=USD","Period=FQ","BEST_FPERIOD_OVERRIDE=FQ","FILING_STATUS=OR","SCALING_FORMAT=MLN","Sort=A","Dates=H","DateFormat=P","Fill=—","Direction=H","UseDPDF=Y")</f>
        <v>0</v>
      </c>
      <c r="AI23" s="13">
        <f>_xll.BDH("AMZN US Equity","XO_GL_NET_OF_TAX","FQ1 2007","FQ1 2007","Currency=USD","Period=FQ","BEST_FPERIOD_OVERRIDE=FQ","FILING_STATUS=OR","SCALING_FORMAT=MLN","Sort=A","Dates=H","DateFormat=P","Fill=—","Direction=H","UseDPDF=Y")</f>
        <v>0</v>
      </c>
      <c r="AJ23" s="13">
        <f>_xll.BDH("AMZN US Equity","XO_GL_NET_OF_TAX","FQ2 2007","FQ2 2007","Currency=USD","Period=FQ","BEST_FPERIOD_OVERRIDE=FQ","FILING_STATUS=OR","SCALING_FORMAT=MLN","Sort=A","Dates=H","DateFormat=P","Fill=—","Direction=H","UseDPDF=Y")</f>
        <v>0</v>
      </c>
      <c r="AK23" s="13">
        <f>_xll.BDH("AMZN US Equity","XO_GL_NET_OF_TAX","FQ3 2007","FQ3 2007","Currency=USD","Period=FQ","BEST_FPERIOD_OVERRIDE=FQ","FILING_STATUS=OR","SCALING_FORMAT=MLN","Sort=A","Dates=H","DateFormat=P","Fill=—","Direction=H","UseDPDF=Y")</f>
        <v>0</v>
      </c>
      <c r="AL23" s="13">
        <f>_xll.BDH("AMZN US Equity","XO_GL_NET_OF_TAX","FQ4 2007","FQ4 2007","Currency=USD","Period=FQ","BEST_FPERIOD_OVERRIDE=FQ","FILING_STATUS=OR","SCALING_FORMAT=MLN","Sort=A","Dates=H","DateFormat=P","Fill=—","Direction=H","UseDPDF=Y")</f>
        <v>0</v>
      </c>
      <c r="AM23" s="13">
        <f>_xll.BDH("AMZN US Equity","XO_GL_NET_OF_TAX","FQ1 2008","FQ1 2008","Currency=USD","Period=FQ","BEST_FPERIOD_OVERRIDE=FQ","FILING_STATUS=OR","SCALING_FORMAT=MLN","Sort=A","Dates=H","DateFormat=P","Fill=—","Direction=H","UseDPDF=Y")</f>
        <v>0</v>
      </c>
      <c r="AN23" s="13">
        <f>_xll.BDH("AMZN US Equity","XO_GL_NET_OF_TAX","FQ2 2008","FQ2 2008","Currency=USD","Period=FQ","BEST_FPERIOD_OVERRIDE=FQ","FILING_STATUS=OR","SCALING_FORMAT=MLN","Sort=A","Dates=H","DateFormat=P","Fill=—","Direction=H","UseDPDF=Y")</f>
        <v>0</v>
      </c>
      <c r="AO23" s="13">
        <f>_xll.BDH("AMZN US Equity","XO_GL_NET_OF_TAX","FQ3 2008","FQ3 2008","Currency=USD","Period=FQ","BEST_FPERIOD_OVERRIDE=FQ","FILING_STATUS=OR","SCALING_FORMAT=MLN","Sort=A","Dates=H","DateFormat=P","Fill=—","Direction=H","UseDPDF=Y")</f>
        <v>0</v>
      </c>
      <c r="AP23" s="13">
        <f>_xll.BDH("AMZN US Equity","XO_GL_NET_OF_TAX","FQ4 2008","FQ4 2008","Currency=USD","Period=FQ","BEST_FPERIOD_OVERRIDE=FQ","FILING_STATUS=OR","SCALING_FORMAT=MLN","Sort=A","Dates=H","DateFormat=P","Fill=—","Direction=H","UseDPDF=Y")</f>
        <v>0</v>
      </c>
    </row>
    <row r="24" spans="1:42" x14ac:dyDescent="0.25">
      <c r="A24" s="6" t="s">
        <v>121</v>
      </c>
      <c r="B24" s="6" t="s">
        <v>122</v>
      </c>
      <c r="C24" s="16">
        <f>_xll.BDH("AMZN US Equity","NI_INCLUDING_MINORITY_INT_RATIO","FQ4 1998","FQ4 1998","Currency=USD","Period=FQ","BEST_FPERIOD_OVERRIDE=FQ","FILING_STATUS=OR","SCALING_FORMAT=MLN","FA_ADJUSTED=GAAP","Sort=A","Dates=H","DateFormat=P","Fill=—","Direction=H","UseDPDF=Y")</f>
        <v>-46.427</v>
      </c>
      <c r="D24" s="16">
        <f>_xll.BDH("AMZN US Equity","NI_INCLUDING_MINORITY_INT_RATIO","FQ1 1999","FQ1 1999","Currency=USD","Period=FQ","BEST_FPERIOD_OVERRIDE=FQ","FILING_STATUS=OR","SCALING_FORMAT=MLN","FA_ADJUSTED=GAAP","Sort=A","Dates=H","DateFormat=P","Fill=—","Direction=H","UseDPDF=Y")</f>
        <v>-61.667000000000002</v>
      </c>
      <c r="E24" s="16">
        <f>_xll.BDH("AMZN US Equity","NI_INCLUDING_MINORITY_INT_RATIO","FQ2 1999","FQ2 1999","Currency=USD","Period=FQ","BEST_FPERIOD_OVERRIDE=FQ","FILING_STATUS=OR","SCALING_FORMAT=MLN","FA_ADJUSTED=GAAP","Sort=A","Dates=H","DateFormat=P","Fill=—","Direction=H","UseDPDF=Y")</f>
        <v>-138.00800000000001</v>
      </c>
      <c r="F24" s="16">
        <f>_xll.BDH("AMZN US Equity","NI_INCLUDING_MINORITY_INT_RATIO","FQ3 1999","FQ3 1999","Currency=USD","Period=FQ","BEST_FPERIOD_OVERRIDE=FQ","FILING_STATUS=OR","SCALING_FORMAT=MLN","FA_ADJUSTED=GAAP","Sort=A","Dates=H","DateFormat=P","Fill=—","Direction=H","UseDPDF=Y")</f>
        <v>-197.08</v>
      </c>
      <c r="G24" s="16">
        <f>_xll.BDH("AMZN US Equity","NI_INCLUDING_MINORITY_INT_RATIO","FQ4 1999","FQ4 1999","Currency=USD","Period=FQ","BEST_FPERIOD_OVERRIDE=FQ","FILING_STATUS=OR","SCALING_FORMAT=MLN","FA_ADJUSTED=GAAP","Sort=A","Dates=H","DateFormat=P","Fill=—","Direction=H","UseDPDF=Y")</f>
        <v>-323.21300000000002</v>
      </c>
      <c r="H24" s="16">
        <f>_xll.BDH("AMZN US Equity","NI_INCLUDING_MINORITY_INT_RATIO","FQ1 2000","FQ1 2000","Currency=USD","Period=FQ","BEST_FPERIOD_OVERRIDE=FQ","FILING_STATUS=OR","SCALING_FORMAT=MLN","FA_ADJUSTED=GAAP","Sort=A","Dates=H","DateFormat=P","Fill=—","Direction=H","UseDPDF=Y")</f>
        <v>-308.42500000000001</v>
      </c>
      <c r="I24" s="16">
        <f>_xll.BDH("AMZN US Equity","NI_INCLUDING_MINORITY_INT_RATIO","FQ3 2000","FQ3 2000","Currency=USD","Period=FQ","BEST_FPERIOD_OVERRIDE=FQ","FILING_STATUS=OR","SCALING_FORMAT=MLN","FA_ADJUSTED=GAAP","Sort=A","Dates=H","DateFormat=P","Fill=—","Direction=H","UseDPDF=Y")</f>
        <v>-240.524</v>
      </c>
      <c r="J24" s="16">
        <f>_xll.BDH("AMZN US Equity","NI_INCLUDING_MINORITY_INT_RATIO","FQ4 2000","FQ4 2000","Currency=USD","Period=FQ","BEST_FPERIOD_OVERRIDE=FQ","FILING_STATUS=OR","SCALING_FORMAT=MLN","FA_ADJUSTED=GAAP","Sort=A","Dates=H","DateFormat=P","Fill=—","Direction=H","UseDPDF=Y")</f>
        <v>-545.14</v>
      </c>
      <c r="K24" s="16">
        <f>_xll.BDH("AMZN US Equity","NI_INCLUDING_MINORITY_INT_RATIO","FQ1 2001","FQ1 2001","Currency=USD","Period=FQ","BEST_FPERIOD_OVERRIDE=FQ","FILING_STATUS=OR","SCALING_FORMAT=MLN","FA_ADJUSTED=GAAP","Sort=A","Dates=H","DateFormat=P","Fill=—","Direction=H","UseDPDF=Y")</f>
        <v>-234.131</v>
      </c>
      <c r="L24" s="16">
        <f>_xll.BDH("AMZN US Equity","NI_INCLUDING_MINORITY_INT_RATIO","FQ2 2001","FQ2 2001","Currency=USD","Period=FQ","BEST_FPERIOD_OVERRIDE=FQ","FILING_STATUS=OR","SCALING_FORMAT=MLN","FA_ADJUSTED=GAAP","Sort=A","Dates=H","DateFormat=P","Fill=—","Direction=H","UseDPDF=Y")</f>
        <v>-168.35900000000001</v>
      </c>
      <c r="M24" s="16">
        <f>_xll.BDH("AMZN US Equity","NI_INCLUDING_MINORITY_INT_RATIO","FQ3 2001","FQ3 2001","Currency=USD","Period=FQ","BEST_FPERIOD_OVERRIDE=FQ","FILING_STATUS=OR","SCALING_FORMAT=MLN","FA_ADJUSTED=GAAP","Sort=A","Dates=H","DateFormat=P","Fill=—","Direction=H","UseDPDF=Y")</f>
        <v>-169.874</v>
      </c>
      <c r="N24" s="16">
        <f>_xll.BDH("AMZN US Equity","NI_INCLUDING_MINORITY_INT_RATIO","FQ4 2001","FQ4 2001","Currency=USD","Period=FQ","BEST_FPERIOD_OVERRIDE=FQ","FILING_STATUS=OR","SCALING_FORMAT=MLN","FA_ADJUSTED=GAAP","Sort=A","Dates=H","DateFormat=P","Fill=—","Direction=H","UseDPDF=Y")</f>
        <v>5.0869999999999997</v>
      </c>
      <c r="O24" s="16">
        <f>_xll.BDH("AMZN US Equity","NI_INCLUDING_MINORITY_INT_RATIO","FQ1 2002","FQ1 2002","Currency=USD","Period=FQ","BEST_FPERIOD_OVERRIDE=FQ","FILING_STATUS=OR","SCALING_FORMAT=MLN","FA_ADJUSTED=GAAP","Sort=A","Dates=H","DateFormat=P","Fill=—","Direction=H","UseDPDF=Y")</f>
        <v>-23.15</v>
      </c>
      <c r="P24" s="16">
        <f>_xll.BDH("AMZN US Equity","NI_INCLUDING_MINORITY_INT_RATIO","FQ2 2002","FQ2 2002","Currency=USD","Period=FQ","BEST_FPERIOD_OVERRIDE=FQ","FILING_STATUS=OR","SCALING_FORMAT=MLN","FA_ADJUSTED=GAAP","Sort=A","Dates=H","DateFormat=P","Fill=—","Direction=H","UseDPDF=Y")</f>
        <v>-93.552999999999997</v>
      </c>
      <c r="Q24" s="16">
        <f>_xll.BDH("AMZN US Equity","NI_INCLUDING_MINORITY_INT_RATIO","FQ3 2002","FQ3 2002","Currency=USD","Period=FQ","BEST_FPERIOD_OVERRIDE=FQ","FILING_STATUS=OR","SCALING_FORMAT=MLN","FA_ADJUSTED=GAAP","Sort=A","Dates=H","DateFormat=P","Fill=—","Direction=H","UseDPDF=Y")</f>
        <v>-35.08</v>
      </c>
      <c r="R24" s="16">
        <f>_xll.BDH("AMZN US Equity","NI_INCLUDING_MINORITY_INT_RATIO","FQ4 2002","FQ4 2002","Currency=USD","Period=FQ","BEST_FPERIOD_OVERRIDE=FQ","FILING_STATUS=OR","SCALING_FORMAT=MLN","FA_ADJUSTED=GAAP","Sort=A","Dates=H","DateFormat=P","Fill=—","Direction=H","UseDPDF=Y")</f>
        <v>2.6509999999999998</v>
      </c>
      <c r="S24" s="16">
        <f>_xll.BDH("AMZN US Equity","NI_INCLUDING_MINORITY_INT_RATIO","FQ1 2003","FQ1 2003","Currency=USD","Period=FQ","BEST_FPERIOD_OVERRIDE=FQ","FILING_STATUS=OR","SCALING_FORMAT=MLN","FA_ADJUSTED=GAAP","Sort=A","Dates=H","DateFormat=P","Fill=—","Direction=H","UseDPDF=Y")</f>
        <v>-10.121</v>
      </c>
      <c r="T24" s="16">
        <f>_xll.BDH("AMZN US Equity","NI_INCLUDING_MINORITY_INT_RATIO","FQ2 2003","FQ2 2003","Currency=USD","Period=FQ","BEST_FPERIOD_OVERRIDE=FQ","FILING_STATUS=OR","SCALING_FORMAT=MLN","FA_ADJUSTED=GAAP","Sort=A","Dates=H","DateFormat=P","Fill=—","Direction=H","UseDPDF=Y")</f>
        <v>-43.314</v>
      </c>
      <c r="U24" s="16">
        <f>_xll.BDH("AMZN US Equity","NI_INCLUDING_MINORITY_INT_RATIO","FQ3 2003","FQ3 2003","Currency=USD","Period=FQ","BEST_FPERIOD_OVERRIDE=FQ","FILING_STATUS=OR","SCALING_FORMAT=MLN","FA_ADJUSTED=GAAP","Sort=A","Dates=H","DateFormat=P","Fill=—","Direction=H","UseDPDF=Y")</f>
        <v>15.563000000000001</v>
      </c>
      <c r="V24" s="16">
        <f>_xll.BDH("AMZN US Equity","NI_INCLUDING_MINORITY_INT_RATIO","FQ4 2003","FQ4 2003","Currency=USD","Period=FQ","BEST_FPERIOD_OVERRIDE=FQ","FILING_STATUS=OR","SCALING_FORMAT=MLN","FA_ADJUSTED=GAAP","Sort=A","Dates=H","DateFormat=P","Fill=—","Direction=H","UseDPDF=Y")</f>
        <v>73.153999999999996</v>
      </c>
      <c r="W24" s="16">
        <f>_xll.BDH("AMZN US Equity","NI_INCLUDING_MINORITY_INT_RATIO","FQ1 2004","FQ1 2004","Currency=USD","Period=FQ","BEST_FPERIOD_OVERRIDE=FQ","FILING_STATUS=OR","SCALING_FORMAT=MLN","FA_ADJUSTED=GAAP","Sort=A","Dates=H","DateFormat=P","Fill=—","Direction=H","UseDPDF=Y")</f>
        <v>111.136</v>
      </c>
      <c r="X24" s="16">
        <f>_xll.BDH("AMZN US Equity","NI_INCLUDING_MINORITY_INT_RATIO","FQ2 2004","FQ2 2004","Currency=USD","Period=FQ","BEST_FPERIOD_OVERRIDE=FQ","FILING_STATUS=OR","SCALING_FORMAT=MLN","FA_ADJUSTED=GAAP","Sort=A","Dates=H","DateFormat=P","Fill=—","Direction=H","UseDPDF=Y")</f>
        <v>76.48</v>
      </c>
      <c r="Y24" s="16">
        <f>_xll.BDH("AMZN US Equity","NI_INCLUDING_MINORITY_INT_RATIO","FQ3 2004","FQ3 2004","Currency=USD","Period=FQ","BEST_FPERIOD_OVERRIDE=FQ","FILING_STATUS=OR","SCALING_FORMAT=MLN","FA_ADJUSTED=GAAP","Sort=A","Dates=H","DateFormat=P","Fill=—","Direction=H","UseDPDF=Y")</f>
        <v>54.146999999999998</v>
      </c>
      <c r="Z24" s="16">
        <f>_xll.BDH("AMZN US Equity","NI_INCLUDING_MINORITY_INT_RATIO","FQ4 2004","FQ4 2004","Currency=USD","Period=FQ","BEST_FPERIOD_OVERRIDE=FQ","FILING_STATUS=OR","SCALING_FORMAT=MLN","FA_ADJUSTED=GAAP","Sort=A","Dates=H","DateFormat=P","Fill=—","Direction=H","UseDPDF=Y")</f>
        <v>346.68799999999999</v>
      </c>
      <c r="AA24" s="16">
        <f>_xll.BDH("AMZN US Equity","NI_INCLUDING_MINORITY_INT_RATIO","FQ1 2005","FQ1 2005","Currency=USD","Period=FQ","BEST_FPERIOD_OVERRIDE=FQ","FILING_STATUS=OR","SCALING_FORMAT=MLN","FA_ADJUSTED=GAAP","Sort=A","Dates=H","DateFormat=P","Fill=—","Direction=H","UseDPDF=Y")</f>
        <v>78</v>
      </c>
      <c r="AB24" s="16">
        <f>_xll.BDH("AMZN US Equity","NI_INCLUDING_MINORITY_INT_RATIO","FQ2 2005","FQ2 2005","Currency=USD","Period=FQ","BEST_FPERIOD_OVERRIDE=FQ","FILING_STATUS=OR","SCALING_FORMAT=MLN","FA_ADJUSTED=GAAP","Sort=A","Dates=H","DateFormat=P","Fill=—","Direction=H","UseDPDF=Y")</f>
        <v>52</v>
      </c>
      <c r="AC24" s="16">
        <f>_xll.BDH("AMZN US Equity","NI_INCLUDING_MINORITY_INT_RATIO","FQ3 2005","FQ3 2005","Currency=USD","Period=FQ","BEST_FPERIOD_OVERRIDE=FQ","FILING_STATUS=OR","SCALING_FORMAT=MLN","FA_ADJUSTED=GAAP","Sort=A","Dates=H","DateFormat=P","Fill=—","Direction=H","UseDPDF=Y")</f>
        <v>30</v>
      </c>
      <c r="AD24" s="16">
        <f>_xll.BDH("AMZN US Equity","NI_INCLUDING_MINORITY_INT_RATIO","FQ4 2005","FQ4 2005","Currency=USD","Period=FQ","BEST_FPERIOD_OVERRIDE=FQ","FILING_STATUS=OR","SCALING_FORMAT=MLN","FA_ADJUSTED=GAAP","Sort=A","Dates=H","DateFormat=P","Fill=—","Direction=H","UseDPDF=Y")</f>
        <v>199</v>
      </c>
      <c r="AE24" s="16">
        <f>_xll.BDH("AMZN US Equity","NI_INCLUDING_MINORITY_INT_RATIO","FQ1 2006","FQ1 2006","Currency=USD","Period=FQ","BEST_FPERIOD_OVERRIDE=FQ","FILING_STATUS=OR","SCALING_FORMAT=MLN","FA_ADJUSTED=GAAP","Sort=A","Dates=H","DateFormat=P","Fill=—","Direction=H","UseDPDF=Y")</f>
        <v>51</v>
      </c>
      <c r="AF24" s="16">
        <f>_xll.BDH("AMZN US Equity","NI_INCLUDING_MINORITY_INT_RATIO","FQ2 2006","FQ2 2006","Currency=USD","Period=FQ","BEST_FPERIOD_OVERRIDE=FQ","FILING_STATUS=OR","SCALING_FORMAT=MLN","FA_ADJUSTED=GAAP","Sort=A","Dates=H","DateFormat=P","Fill=—","Direction=H","UseDPDF=Y")</f>
        <v>22</v>
      </c>
      <c r="AG24" s="16">
        <f>_xll.BDH("AMZN US Equity","NI_INCLUDING_MINORITY_INT_RATIO","FQ3 2006","FQ3 2006","Currency=USD","Period=FQ","BEST_FPERIOD_OVERRIDE=FQ","FILING_STATUS=OR","SCALING_FORMAT=MLN","FA_ADJUSTED=GAAP","Sort=A","Dates=H","DateFormat=P","Fill=—","Direction=H","UseDPDF=Y")</f>
        <v>19</v>
      </c>
      <c r="AH24" s="16">
        <f>_xll.BDH("AMZN US Equity","NI_INCLUDING_MINORITY_INT_RATIO","FQ4 2006","FQ4 2006","Currency=USD","Period=FQ","BEST_FPERIOD_OVERRIDE=FQ","FILING_STATUS=OR","SCALING_FORMAT=MLN","FA_ADJUSTED=GAAP","Sort=A","Dates=H","DateFormat=P","Fill=—","Direction=H","UseDPDF=Y")</f>
        <v>98</v>
      </c>
      <c r="AI24" s="16">
        <f>_xll.BDH("AMZN US Equity","NI_INCLUDING_MINORITY_INT_RATIO","FQ1 2007","FQ1 2007","Currency=USD","Period=FQ","BEST_FPERIOD_OVERRIDE=FQ","FILING_STATUS=OR","SCALING_FORMAT=MLN","FA_ADJUSTED=GAAP","Sort=A","Dates=H","DateFormat=P","Fill=—","Direction=H","UseDPDF=Y")</f>
        <v>111</v>
      </c>
      <c r="AJ24" s="16">
        <f>_xll.BDH("AMZN US Equity","NI_INCLUDING_MINORITY_INT_RATIO","FQ2 2007","FQ2 2007","Currency=USD","Period=FQ","BEST_FPERIOD_OVERRIDE=FQ","FILING_STATUS=OR","SCALING_FORMAT=MLN","FA_ADJUSTED=GAAP","Sort=A","Dates=H","DateFormat=P","Fill=—","Direction=H","UseDPDF=Y")</f>
        <v>78</v>
      </c>
      <c r="AK24" s="16">
        <f>_xll.BDH("AMZN US Equity","NI_INCLUDING_MINORITY_INT_RATIO","FQ3 2007","FQ3 2007","Currency=USD","Period=FQ","BEST_FPERIOD_OVERRIDE=FQ","FILING_STATUS=OR","SCALING_FORMAT=MLN","FA_ADJUSTED=GAAP","Sort=A","Dates=H","DateFormat=P","Fill=—","Direction=H","UseDPDF=Y")</f>
        <v>80</v>
      </c>
      <c r="AL24" s="16">
        <f>_xll.BDH("AMZN US Equity","NI_INCLUDING_MINORITY_INT_RATIO","FQ4 2007","FQ4 2007","Currency=USD","Period=FQ","BEST_FPERIOD_OVERRIDE=FQ","FILING_STATUS=OR","SCALING_FORMAT=MLN","FA_ADJUSTED=GAAP","Sort=A","Dates=H","DateFormat=P","Fill=—","Direction=H","UseDPDF=Y")</f>
        <v>207</v>
      </c>
      <c r="AM24" s="16">
        <f>_xll.BDH("AMZN US Equity","NI_INCLUDING_MINORITY_INT_RATIO","FQ1 2008","FQ1 2008","Currency=USD","Period=FQ","BEST_FPERIOD_OVERRIDE=FQ","FILING_STATUS=OR","SCALING_FORMAT=MLN","FA_ADJUSTED=GAAP","Sort=A","Dates=H","DateFormat=P","Fill=—","Direction=H","UseDPDF=Y")</f>
        <v>143</v>
      </c>
      <c r="AN24" s="16">
        <f>_xll.BDH("AMZN US Equity","NI_INCLUDING_MINORITY_INT_RATIO","FQ2 2008","FQ2 2008","Currency=USD","Period=FQ","BEST_FPERIOD_OVERRIDE=FQ","FILING_STATUS=OR","SCALING_FORMAT=MLN","FA_ADJUSTED=GAAP","Sort=A","Dates=H","DateFormat=P","Fill=—","Direction=H","UseDPDF=Y")</f>
        <v>158</v>
      </c>
      <c r="AO24" s="16">
        <f>_xll.BDH("AMZN US Equity","NI_INCLUDING_MINORITY_INT_RATIO","FQ3 2008","FQ3 2008","Currency=USD","Period=FQ","BEST_FPERIOD_OVERRIDE=FQ","FILING_STATUS=OR","SCALING_FORMAT=MLN","FA_ADJUSTED=GAAP","Sort=A","Dates=H","DateFormat=P","Fill=—","Direction=H","UseDPDF=Y")</f>
        <v>118</v>
      </c>
      <c r="AP24" s="16">
        <f>_xll.BDH("AMZN US Equity","NI_INCLUDING_MINORITY_INT_RATIO","FQ4 2008","FQ4 2008","Currency=USD","Period=FQ","BEST_FPERIOD_OVERRIDE=FQ","FILING_STATUS=OR","SCALING_FORMAT=MLN","FA_ADJUSTED=GAAP","Sort=A","Dates=H","DateFormat=P","Fill=—","Direction=H","UseDPDF=Y")</f>
        <v>225</v>
      </c>
    </row>
    <row r="25" spans="1:42" x14ac:dyDescent="0.25">
      <c r="A25" s="10" t="s">
        <v>123</v>
      </c>
      <c r="B25" s="10" t="s">
        <v>124</v>
      </c>
      <c r="C25" s="13">
        <f>_xll.BDH("AMZN US Equity","MIN_NONCONTROL_INTEREST_CREDITS","FQ4 1998","FQ4 1998","Currency=USD","Period=FQ","BEST_FPERIOD_OVERRIDE=FQ","FILING_STATUS=OR","SCALING_FORMAT=MLN","FA_ADJUSTED=GAAP","Sort=A","Dates=H","DateFormat=P","Fill=—","Direction=H","UseDPDF=Y")</f>
        <v>0</v>
      </c>
      <c r="D25" s="13">
        <f>_xll.BDH("AMZN US Equity","MIN_NONCONTROL_INTEREST_CREDITS","FQ1 1999","FQ1 1999","Currency=USD","Period=FQ","BEST_FPERIOD_OVERRIDE=FQ","FILING_STATUS=OR","SCALING_FORMAT=MLN","FA_ADJUSTED=GAAP","Sort=A","Dates=H","DateFormat=P","Fill=—","Direction=H","UseDPDF=Y")</f>
        <v>0</v>
      </c>
      <c r="E25" s="13">
        <f>_xll.BDH("AMZN US Equity","MIN_NONCONTROL_INTEREST_CREDITS","FQ2 1999","FQ2 1999","Currency=USD","Period=FQ","BEST_FPERIOD_OVERRIDE=FQ","FILING_STATUS=OR","SCALING_FORMAT=MLN","FA_ADJUSTED=GAAP","Sort=A","Dates=H","DateFormat=P","Fill=—","Direction=H","UseDPDF=Y")</f>
        <v>0</v>
      </c>
      <c r="F25" s="13">
        <f>_xll.BDH("AMZN US Equity","MIN_NONCONTROL_INTEREST_CREDITS","FQ3 1999","FQ3 1999","Currency=USD","Period=FQ","BEST_FPERIOD_OVERRIDE=FQ","FILING_STATUS=OR","SCALING_FORMAT=MLN","FA_ADJUSTED=GAAP","Sort=A","Dates=H","DateFormat=P","Fill=—","Direction=H","UseDPDF=Y")</f>
        <v>0</v>
      </c>
      <c r="G25" s="13">
        <f>_xll.BDH("AMZN US Equity","MIN_NONCONTROL_INTEREST_CREDITS","FQ4 1999","FQ4 1999","Currency=USD","Period=FQ","BEST_FPERIOD_OVERRIDE=FQ","FILING_STATUS=OR","SCALING_FORMAT=MLN","FA_ADJUSTED=GAAP","Sort=A","Dates=H","DateFormat=P","Fill=—","Direction=H","UseDPDF=Y")</f>
        <v>0</v>
      </c>
      <c r="H25" s="13">
        <f>_xll.BDH("AMZN US Equity","MIN_NONCONTROL_INTEREST_CREDITS","FQ1 2000","FQ1 2000","Currency=USD","Period=FQ","BEST_FPERIOD_OVERRIDE=FQ","FILING_STATUS=OR","SCALING_FORMAT=MLN","FA_ADJUSTED=GAAP","Sort=A","Dates=H","DateFormat=P","Fill=—","Direction=H","UseDPDF=Y")</f>
        <v>0</v>
      </c>
      <c r="I25" s="13">
        <f>_xll.BDH("AMZN US Equity","MIN_NONCONTROL_INTEREST_CREDITS","FQ3 2000","FQ3 2000","Currency=USD","Period=FQ","BEST_FPERIOD_OVERRIDE=FQ","FILING_STATUS=OR","SCALING_FORMAT=MLN","FA_ADJUSTED=GAAP","Sort=A","Dates=H","DateFormat=P","Fill=—","Direction=H","UseDPDF=Y")</f>
        <v>0</v>
      </c>
      <c r="J25" s="13">
        <f>_xll.BDH("AMZN US Equity","MIN_NONCONTROL_INTEREST_CREDITS","FQ4 2000","FQ4 2000","Currency=USD","Period=FQ","BEST_FPERIOD_OVERRIDE=FQ","FILING_STATUS=OR","SCALING_FORMAT=MLN","FA_ADJUSTED=GAAP","Sort=A","Dates=H","DateFormat=P","Fill=—","Direction=H","UseDPDF=Y")</f>
        <v>0</v>
      </c>
      <c r="K25" s="13">
        <f>_xll.BDH("AMZN US Equity","MIN_NONCONTROL_INTEREST_CREDITS","FQ1 2001","FQ1 2001","Currency=USD","Period=FQ","BEST_FPERIOD_OVERRIDE=FQ","FILING_STATUS=OR","SCALING_FORMAT=MLN","FA_ADJUSTED=GAAP","Sort=A","Dates=H","DateFormat=P","Fill=—","Direction=H","UseDPDF=Y")</f>
        <v>0</v>
      </c>
      <c r="L25" s="13">
        <f>_xll.BDH("AMZN US Equity","MIN_NONCONTROL_INTEREST_CREDITS","FQ2 2001","FQ2 2001","Currency=USD","Period=FQ","BEST_FPERIOD_OVERRIDE=FQ","FILING_STATUS=OR","SCALING_FORMAT=MLN","FA_ADJUSTED=GAAP","Sort=A","Dates=H","DateFormat=P","Fill=—","Direction=H","UseDPDF=Y")</f>
        <v>0</v>
      </c>
      <c r="M25" s="13">
        <f>_xll.BDH("AMZN US Equity","MIN_NONCONTROL_INTEREST_CREDITS","FQ3 2001","FQ3 2001","Currency=USD","Period=FQ","BEST_FPERIOD_OVERRIDE=FQ","FILING_STATUS=OR","SCALING_FORMAT=MLN","FA_ADJUSTED=GAAP","Sort=A","Dates=H","DateFormat=P","Fill=—","Direction=H","UseDPDF=Y")</f>
        <v>0</v>
      </c>
      <c r="N25" s="13">
        <f>_xll.BDH("AMZN US Equity","MIN_NONCONTROL_INTEREST_CREDITS","FQ4 2001","FQ4 2001","Currency=USD","Period=FQ","BEST_FPERIOD_OVERRIDE=FQ","FILING_STATUS=OR","SCALING_FORMAT=MLN","FA_ADJUSTED=GAAP","Sort=A","Dates=H","DateFormat=P","Fill=—","Direction=H","UseDPDF=Y")</f>
        <v>0</v>
      </c>
      <c r="O25" s="13">
        <f>_xll.BDH("AMZN US Equity","MIN_NONCONTROL_INTEREST_CREDITS","FQ1 2002","FQ1 2002","Currency=USD","Period=FQ","BEST_FPERIOD_OVERRIDE=FQ","FILING_STATUS=OR","SCALING_FORMAT=MLN","FA_ADJUSTED=GAAP","Sort=A","Dates=H","DateFormat=P","Fill=—","Direction=H","UseDPDF=Y")</f>
        <v>0</v>
      </c>
      <c r="P25" s="13">
        <f>_xll.BDH("AMZN US Equity","MIN_NONCONTROL_INTEREST_CREDITS","FQ2 2002","FQ2 2002","Currency=USD","Period=FQ","BEST_FPERIOD_OVERRIDE=FQ","FILING_STATUS=OR","SCALING_FORMAT=MLN","FA_ADJUSTED=GAAP","Sort=A","Dates=H","DateFormat=P","Fill=—","Direction=H","UseDPDF=Y")</f>
        <v>0</v>
      </c>
      <c r="Q25" s="13">
        <f>_xll.BDH("AMZN US Equity","MIN_NONCONTROL_INTEREST_CREDITS","FQ3 2002","FQ3 2002","Currency=USD","Period=FQ","BEST_FPERIOD_OVERRIDE=FQ","FILING_STATUS=OR","SCALING_FORMAT=MLN","FA_ADJUSTED=GAAP","Sort=A","Dates=H","DateFormat=P","Fill=—","Direction=H","UseDPDF=Y")</f>
        <v>0</v>
      </c>
      <c r="R25" s="13">
        <f>_xll.BDH("AMZN US Equity","MIN_NONCONTROL_INTEREST_CREDITS","FQ4 2002","FQ4 2002","Currency=USD","Period=FQ","BEST_FPERIOD_OVERRIDE=FQ","FILING_STATUS=OR","SCALING_FORMAT=MLN","FA_ADJUSTED=GAAP","Sort=A","Dates=H","DateFormat=P","Fill=—","Direction=H","UseDPDF=Y")</f>
        <v>0</v>
      </c>
      <c r="S25" s="13">
        <f>_xll.BDH("AMZN US Equity","MIN_NONCONTROL_INTEREST_CREDITS","FQ1 2003","FQ1 2003","Currency=USD","Period=FQ","BEST_FPERIOD_OVERRIDE=FQ","FILING_STATUS=OR","SCALING_FORMAT=MLN","FA_ADJUSTED=GAAP","Sort=A","Dates=H","DateFormat=P","Fill=—","Direction=H","UseDPDF=Y")</f>
        <v>0</v>
      </c>
      <c r="T25" s="13">
        <f>_xll.BDH("AMZN US Equity","MIN_NONCONTROL_INTEREST_CREDITS","FQ2 2003","FQ2 2003","Currency=USD","Period=FQ","BEST_FPERIOD_OVERRIDE=FQ","FILING_STATUS=OR","SCALING_FORMAT=MLN","FA_ADJUSTED=GAAP","Sort=A","Dates=H","DateFormat=P","Fill=—","Direction=H","UseDPDF=Y")</f>
        <v>0</v>
      </c>
      <c r="U25" s="13">
        <f>_xll.BDH("AMZN US Equity","MIN_NONCONTROL_INTEREST_CREDITS","FQ3 2003","FQ3 2003","Currency=USD","Period=FQ","BEST_FPERIOD_OVERRIDE=FQ","FILING_STATUS=OR","SCALING_FORMAT=MLN","FA_ADJUSTED=GAAP","Sort=A","Dates=H","DateFormat=P","Fill=—","Direction=H","UseDPDF=Y")</f>
        <v>0</v>
      </c>
      <c r="V25" s="13">
        <f>_xll.BDH("AMZN US Equity","MIN_NONCONTROL_INTEREST_CREDITS","FQ4 2003","FQ4 2003","Currency=USD","Period=FQ","BEST_FPERIOD_OVERRIDE=FQ","FILING_STATUS=OR","SCALING_FORMAT=MLN","FA_ADJUSTED=GAAP","Sort=A","Dates=H","DateFormat=P","Fill=—","Direction=H","UseDPDF=Y")</f>
        <v>0</v>
      </c>
      <c r="W25" s="13">
        <f>_xll.BDH("AMZN US Equity","MIN_NONCONTROL_INTEREST_CREDITS","FQ1 2004","FQ1 2004","Currency=USD","Period=FQ","BEST_FPERIOD_OVERRIDE=FQ","FILING_STATUS=OR","SCALING_FORMAT=MLN","FA_ADJUSTED=GAAP","Sort=A","Dates=H","DateFormat=P","Fill=—","Direction=H","UseDPDF=Y")</f>
        <v>0</v>
      </c>
      <c r="X25" s="13">
        <f>_xll.BDH("AMZN US Equity","MIN_NONCONTROL_INTEREST_CREDITS","FQ2 2004","FQ2 2004","Currency=USD","Period=FQ","BEST_FPERIOD_OVERRIDE=FQ","FILING_STATUS=OR","SCALING_FORMAT=MLN","FA_ADJUSTED=GAAP","Sort=A","Dates=H","DateFormat=P","Fill=—","Direction=H","UseDPDF=Y")</f>
        <v>0</v>
      </c>
      <c r="Y25" s="13">
        <f>_xll.BDH("AMZN US Equity","MIN_NONCONTROL_INTEREST_CREDITS","FQ3 2004","FQ3 2004","Currency=USD","Period=FQ","BEST_FPERIOD_OVERRIDE=FQ","FILING_STATUS=OR","SCALING_FORMAT=MLN","FA_ADJUSTED=GAAP","Sort=A","Dates=H","DateFormat=P","Fill=—","Direction=H","UseDPDF=Y")</f>
        <v>0</v>
      </c>
      <c r="Z25" s="13">
        <f>_xll.BDH("AMZN US Equity","MIN_NONCONTROL_INTEREST_CREDITS","FQ4 2004","FQ4 2004","Currency=USD","Period=FQ","BEST_FPERIOD_OVERRIDE=FQ","FILING_STATUS=OR","SCALING_FORMAT=MLN","FA_ADJUSTED=GAAP","Sort=A","Dates=H","DateFormat=P","Fill=—","Direction=H","UseDPDF=Y")</f>
        <v>0</v>
      </c>
      <c r="AA25" s="13">
        <f>_xll.BDH("AMZN US Equity","MIN_NONCONTROL_INTEREST_CREDITS","FQ1 2005","FQ1 2005","Currency=USD","Period=FQ","BEST_FPERIOD_OVERRIDE=FQ","FILING_STATUS=OR","SCALING_FORMAT=MLN","FA_ADJUSTED=GAAP","Sort=A","Dates=H","DateFormat=P","Fill=—","Direction=H","UseDPDF=Y")</f>
        <v>0</v>
      </c>
      <c r="AB25" s="13">
        <f>_xll.BDH("AMZN US Equity","MIN_NONCONTROL_INTEREST_CREDITS","FQ2 2005","FQ2 2005","Currency=USD","Period=FQ","BEST_FPERIOD_OVERRIDE=FQ","FILING_STATUS=OR","SCALING_FORMAT=MLN","FA_ADJUSTED=GAAP","Sort=A","Dates=H","DateFormat=P","Fill=—","Direction=H","UseDPDF=Y")</f>
        <v>0</v>
      </c>
      <c r="AC25" s="13">
        <f>_xll.BDH("AMZN US Equity","MIN_NONCONTROL_INTEREST_CREDITS","FQ3 2005","FQ3 2005","Currency=USD","Period=FQ","BEST_FPERIOD_OVERRIDE=FQ","FILING_STATUS=OR","SCALING_FORMAT=MLN","FA_ADJUSTED=GAAP","Sort=A","Dates=H","DateFormat=P","Fill=—","Direction=H","UseDPDF=Y")</f>
        <v>0</v>
      </c>
      <c r="AD25" s="13">
        <f>_xll.BDH("AMZN US Equity","MIN_NONCONTROL_INTEREST_CREDITS","FQ4 2005","FQ4 2005","Currency=USD","Period=FQ","BEST_FPERIOD_OVERRIDE=FQ","FILING_STATUS=OR","SCALING_FORMAT=MLN","FA_ADJUSTED=GAAP","Sort=A","Dates=H","DateFormat=P","Fill=—","Direction=H","UseDPDF=Y")</f>
        <v>0</v>
      </c>
      <c r="AE25" s="13">
        <f>_xll.BDH("AMZN US Equity","MIN_NONCONTROL_INTEREST_CREDITS","FQ1 2006","FQ1 2006","Currency=USD","Period=FQ","BEST_FPERIOD_OVERRIDE=FQ","FILING_STATUS=OR","SCALING_FORMAT=MLN","FA_ADJUSTED=GAAP","Sort=A","Dates=H","DateFormat=P","Fill=—","Direction=H","UseDPDF=Y")</f>
        <v>0</v>
      </c>
      <c r="AF25" s="13">
        <f>_xll.BDH("AMZN US Equity","MIN_NONCONTROL_INTEREST_CREDITS","FQ2 2006","FQ2 2006","Currency=USD","Period=FQ","BEST_FPERIOD_OVERRIDE=FQ","FILING_STATUS=OR","SCALING_FORMAT=MLN","FA_ADJUSTED=GAAP","Sort=A","Dates=H","DateFormat=P","Fill=—","Direction=H","UseDPDF=Y")</f>
        <v>0</v>
      </c>
      <c r="AG25" s="13">
        <f>_xll.BDH("AMZN US Equity","MIN_NONCONTROL_INTEREST_CREDITS","FQ3 2006","FQ3 2006","Currency=USD","Period=FQ","BEST_FPERIOD_OVERRIDE=FQ","FILING_STATUS=OR","SCALING_FORMAT=MLN","FA_ADJUSTED=GAAP","Sort=A","Dates=H","DateFormat=P","Fill=—","Direction=H","UseDPDF=Y")</f>
        <v>0</v>
      </c>
      <c r="AH25" s="13">
        <f>_xll.BDH("AMZN US Equity","MIN_NONCONTROL_INTEREST_CREDITS","FQ4 2006","FQ4 2006","Currency=USD","Period=FQ","BEST_FPERIOD_OVERRIDE=FQ","FILING_STATUS=OR","SCALING_FORMAT=MLN","FA_ADJUSTED=GAAP","Sort=A","Dates=H","DateFormat=P","Fill=—","Direction=H","UseDPDF=Y")</f>
        <v>0</v>
      </c>
      <c r="AI25" s="13">
        <f>_xll.BDH("AMZN US Equity","MIN_NONCONTROL_INTEREST_CREDITS","FQ1 2007","FQ1 2007","Currency=USD","Period=FQ","BEST_FPERIOD_OVERRIDE=FQ","FILING_STATUS=OR","SCALING_FORMAT=MLN","FA_ADJUSTED=GAAP","Sort=A","Dates=H","DateFormat=P","Fill=—","Direction=H","UseDPDF=Y")</f>
        <v>0</v>
      </c>
      <c r="AJ25" s="13">
        <f>_xll.BDH("AMZN US Equity","MIN_NONCONTROL_INTEREST_CREDITS","FQ2 2007","FQ2 2007","Currency=USD","Period=FQ","BEST_FPERIOD_OVERRIDE=FQ","FILING_STATUS=OR","SCALING_FORMAT=MLN","FA_ADJUSTED=GAAP","Sort=A","Dates=H","DateFormat=P","Fill=—","Direction=H","UseDPDF=Y")</f>
        <v>0</v>
      </c>
      <c r="AK25" s="13">
        <f>_xll.BDH("AMZN US Equity","MIN_NONCONTROL_INTEREST_CREDITS","FQ3 2007","FQ3 2007","Currency=USD","Period=FQ","BEST_FPERIOD_OVERRIDE=FQ","FILING_STATUS=OR","SCALING_FORMAT=MLN","FA_ADJUSTED=GAAP","Sort=A","Dates=H","DateFormat=P","Fill=—","Direction=H","UseDPDF=Y")</f>
        <v>0</v>
      </c>
      <c r="AL25" s="13">
        <f>_xll.BDH("AMZN US Equity","MIN_NONCONTROL_INTEREST_CREDITS","FQ4 2007","FQ4 2007","Currency=USD","Period=FQ","BEST_FPERIOD_OVERRIDE=FQ","FILING_STATUS=OR","SCALING_FORMAT=MLN","FA_ADJUSTED=GAAP","Sort=A","Dates=H","DateFormat=P","Fill=—","Direction=H","UseDPDF=Y")</f>
        <v>0</v>
      </c>
      <c r="AM25" s="13">
        <f>_xll.BDH("AMZN US Equity","MIN_NONCONTROL_INTEREST_CREDITS","FQ1 2008","FQ1 2008","Currency=USD","Period=FQ","BEST_FPERIOD_OVERRIDE=FQ","FILING_STATUS=OR","SCALING_FORMAT=MLN","FA_ADJUSTED=GAAP","Sort=A","Dates=H","DateFormat=P","Fill=—","Direction=H","UseDPDF=Y")</f>
        <v>0</v>
      </c>
      <c r="AN25" s="13">
        <f>_xll.BDH("AMZN US Equity","MIN_NONCONTROL_INTEREST_CREDITS","FQ2 2008","FQ2 2008","Currency=USD","Period=FQ","BEST_FPERIOD_OVERRIDE=FQ","FILING_STATUS=OR","SCALING_FORMAT=MLN","FA_ADJUSTED=GAAP","Sort=A","Dates=H","DateFormat=P","Fill=—","Direction=H","UseDPDF=Y")</f>
        <v>0</v>
      </c>
      <c r="AO25" s="13">
        <f>_xll.BDH("AMZN US Equity","MIN_NONCONTROL_INTEREST_CREDITS","FQ3 2008","FQ3 2008","Currency=USD","Period=FQ","BEST_FPERIOD_OVERRIDE=FQ","FILING_STATUS=OR","SCALING_FORMAT=MLN","FA_ADJUSTED=GAAP","Sort=A","Dates=H","DateFormat=P","Fill=—","Direction=H","UseDPDF=Y")</f>
        <v>0</v>
      </c>
      <c r="AP25" s="13">
        <f>_xll.BDH("AMZN US Equity","MIN_NONCONTROL_INTEREST_CREDITS","FQ4 2008","FQ4 2008","Currency=USD","Period=FQ","BEST_FPERIOD_OVERRIDE=FQ","FILING_STATUS=OR","SCALING_FORMAT=MLN","FA_ADJUSTED=GAAP","Sort=A","Dates=H","DateFormat=P","Fill=—","Direction=H","UseDPDF=Y")</f>
        <v>0</v>
      </c>
    </row>
    <row r="26" spans="1:42" x14ac:dyDescent="0.25">
      <c r="A26" s="6" t="s">
        <v>125</v>
      </c>
      <c r="B26" s="6" t="s">
        <v>126</v>
      </c>
      <c r="C26" s="16">
        <f>_xll.BDH("AMZN US Equity","NET_INCOME","FQ4 1998","FQ4 1998","Currency=USD","Period=FQ","BEST_FPERIOD_OVERRIDE=FQ","FILING_STATUS=OR","SCALING_FORMAT=MLN","FA_ADJUSTED=GAAP","Sort=A","Dates=H","DateFormat=P","Fill=—","Direction=H","UseDPDF=Y")</f>
        <v>-46.427</v>
      </c>
      <c r="D26" s="16">
        <f>_xll.BDH("AMZN US Equity","NET_INCOME","FQ1 1999","FQ1 1999","Currency=USD","Period=FQ","BEST_FPERIOD_OVERRIDE=FQ","FILING_STATUS=OR","SCALING_FORMAT=MLN","FA_ADJUSTED=GAAP","Sort=A","Dates=H","DateFormat=P","Fill=—","Direction=H","UseDPDF=Y")</f>
        <v>-61.667000000000002</v>
      </c>
      <c r="E26" s="16">
        <f>_xll.BDH("AMZN US Equity","NET_INCOME","FQ2 1999","FQ2 1999","Currency=USD","Period=FQ","BEST_FPERIOD_OVERRIDE=FQ","FILING_STATUS=OR","SCALING_FORMAT=MLN","FA_ADJUSTED=GAAP","Sort=A","Dates=H","DateFormat=P","Fill=—","Direction=H","UseDPDF=Y")</f>
        <v>-138.00800000000001</v>
      </c>
      <c r="F26" s="16">
        <f>_xll.BDH("AMZN US Equity","NET_INCOME","FQ3 1999","FQ3 1999","Currency=USD","Period=FQ","BEST_FPERIOD_OVERRIDE=FQ","FILING_STATUS=OR","SCALING_FORMAT=MLN","FA_ADJUSTED=GAAP","Sort=A","Dates=H","DateFormat=P","Fill=—","Direction=H","UseDPDF=Y")</f>
        <v>-197.08</v>
      </c>
      <c r="G26" s="16">
        <f>_xll.BDH("AMZN US Equity","NET_INCOME","FQ4 1999","FQ4 1999","Currency=USD","Period=FQ","BEST_FPERIOD_OVERRIDE=FQ","FILING_STATUS=OR","SCALING_FORMAT=MLN","FA_ADJUSTED=GAAP","Sort=A","Dates=H","DateFormat=P","Fill=—","Direction=H","UseDPDF=Y")</f>
        <v>-323.21300000000002</v>
      </c>
      <c r="H26" s="16">
        <f>_xll.BDH("AMZN US Equity","NET_INCOME","FQ1 2000","FQ1 2000","Currency=USD","Period=FQ","BEST_FPERIOD_OVERRIDE=FQ","FILING_STATUS=OR","SCALING_FORMAT=MLN","FA_ADJUSTED=GAAP","Sort=A","Dates=H","DateFormat=P","Fill=—","Direction=H","UseDPDF=Y")</f>
        <v>-308.42500000000001</v>
      </c>
      <c r="I26" s="16">
        <f>_xll.BDH("AMZN US Equity","NET_INCOME","FQ3 2000","FQ3 2000","Currency=USD","Period=FQ","BEST_FPERIOD_OVERRIDE=FQ","FILING_STATUS=OR","SCALING_FORMAT=MLN","FA_ADJUSTED=GAAP","Sort=A","Dates=H","DateFormat=P","Fill=—","Direction=H","UseDPDF=Y")</f>
        <v>-240.524</v>
      </c>
      <c r="J26" s="16">
        <f>_xll.BDH("AMZN US Equity","NET_INCOME","FQ4 2000","FQ4 2000","Currency=USD","Period=FQ","BEST_FPERIOD_OVERRIDE=FQ","FILING_STATUS=OR","SCALING_FORMAT=MLN","FA_ADJUSTED=GAAP","Sort=A","Dates=H","DateFormat=P","Fill=—","Direction=H","UseDPDF=Y")</f>
        <v>-545.14</v>
      </c>
      <c r="K26" s="16">
        <f>_xll.BDH("AMZN US Equity","NET_INCOME","FQ1 2001","FQ1 2001","Currency=USD","Period=FQ","BEST_FPERIOD_OVERRIDE=FQ","FILING_STATUS=OR","SCALING_FORMAT=MLN","FA_ADJUSTED=GAAP","Sort=A","Dates=H","DateFormat=P","Fill=—","Direction=H","UseDPDF=Y")</f>
        <v>-234.131</v>
      </c>
      <c r="L26" s="16">
        <f>_xll.BDH("AMZN US Equity","NET_INCOME","FQ2 2001","FQ2 2001","Currency=USD","Period=FQ","BEST_FPERIOD_OVERRIDE=FQ","FILING_STATUS=OR","SCALING_FORMAT=MLN","FA_ADJUSTED=GAAP","Sort=A","Dates=H","DateFormat=P","Fill=—","Direction=H","UseDPDF=Y")</f>
        <v>-168.35900000000001</v>
      </c>
      <c r="M26" s="16">
        <f>_xll.BDH("AMZN US Equity","NET_INCOME","FQ3 2001","FQ3 2001","Currency=USD","Period=FQ","BEST_FPERIOD_OVERRIDE=FQ","FILING_STATUS=OR","SCALING_FORMAT=MLN","FA_ADJUSTED=GAAP","Sort=A","Dates=H","DateFormat=P","Fill=—","Direction=H","UseDPDF=Y")</f>
        <v>-169.874</v>
      </c>
      <c r="N26" s="16">
        <f>_xll.BDH("AMZN US Equity","NET_INCOME","FQ4 2001","FQ4 2001","Currency=USD","Period=FQ","BEST_FPERIOD_OVERRIDE=FQ","FILING_STATUS=OR","SCALING_FORMAT=MLN","FA_ADJUSTED=GAAP","Sort=A","Dates=H","DateFormat=P","Fill=—","Direction=H","UseDPDF=Y")</f>
        <v>5.0869999999999997</v>
      </c>
      <c r="O26" s="16">
        <f>_xll.BDH("AMZN US Equity","NET_INCOME","FQ1 2002","FQ1 2002","Currency=USD","Period=FQ","BEST_FPERIOD_OVERRIDE=FQ","FILING_STATUS=OR","SCALING_FORMAT=MLN","FA_ADJUSTED=GAAP","Sort=A","Dates=H","DateFormat=P","Fill=—","Direction=H","UseDPDF=Y")</f>
        <v>-23.15</v>
      </c>
      <c r="P26" s="16">
        <f>_xll.BDH("AMZN US Equity","NET_INCOME","FQ2 2002","FQ2 2002","Currency=USD","Period=FQ","BEST_FPERIOD_OVERRIDE=FQ","FILING_STATUS=OR","SCALING_FORMAT=MLN","FA_ADJUSTED=GAAP","Sort=A","Dates=H","DateFormat=P","Fill=—","Direction=H","UseDPDF=Y")</f>
        <v>-93.552999999999997</v>
      </c>
      <c r="Q26" s="16">
        <f>_xll.BDH("AMZN US Equity","NET_INCOME","FQ3 2002","FQ3 2002","Currency=USD","Period=FQ","BEST_FPERIOD_OVERRIDE=FQ","FILING_STATUS=OR","SCALING_FORMAT=MLN","FA_ADJUSTED=GAAP","Sort=A","Dates=H","DateFormat=P","Fill=—","Direction=H","UseDPDF=Y")</f>
        <v>-35.08</v>
      </c>
      <c r="R26" s="16">
        <f>_xll.BDH("AMZN US Equity","NET_INCOME","FQ4 2002","FQ4 2002","Currency=USD","Period=FQ","BEST_FPERIOD_OVERRIDE=FQ","FILING_STATUS=OR","SCALING_FORMAT=MLN","FA_ADJUSTED=GAAP","Sort=A","Dates=H","DateFormat=P","Fill=—","Direction=H","UseDPDF=Y")</f>
        <v>2.6509999999999998</v>
      </c>
      <c r="S26" s="16">
        <f>_xll.BDH("AMZN US Equity","NET_INCOME","FQ1 2003","FQ1 2003","Currency=USD","Period=FQ","BEST_FPERIOD_OVERRIDE=FQ","FILING_STATUS=OR","SCALING_FORMAT=MLN","FA_ADJUSTED=GAAP","Sort=A","Dates=H","DateFormat=P","Fill=—","Direction=H","UseDPDF=Y")</f>
        <v>-10.121</v>
      </c>
      <c r="T26" s="16">
        <f>_xll.BDH("AMZN US Equity","NET_INCOME","FQ2 2003","FQ2 2003","Currency=USD","Period=FQ","BEST_FPERIOD_OVERRIDE=FQ","FILING_STATUS=OR","SCALING_FORMAT=MLN","FA_ADJUSTED=GAAP","Sort=A","Dates=H","DateFormat=P","Fill=—","Direction=H","UseDPDF=Y")</f>
        <v>-43.314</v>
      </c>
      <c r="U26" s="16">
        <f>_xll.BDH("AMZN US Equity","NET_INCOME","FQ3 2003","FQ3 2003","Currency=USD","Period=FQ","BEST_FPERIOD_OVERRIDE=FQ","FILING_STATUS=OR","SCALING_FORMAT=MLN","FA_ADJUSTED=GAAP","Sort=A","Dates=H","DateFormat=P","Fill=—","Direction=H","UseDPDF=Y")</f>
        <v>15.563000000000001</v>
      </c>
      <c r="V26" s="16">
        <f>_xll.BDH("AMZN US Equity","NET_INCOME","FQ4 2003","FQ4 2003","Currency=USD","Period=FQ","BEST_FPERIOD_OVERRIDE=FQ","FILING_STATUS=OR","SCALING_FORMAT=MLN","FA_ADJUSTED=GAAP","Sort=A","Dates=H","DateFormat=P","Fill=—","Direction=H","UseDPDF=Y")</f>
        <v>73.153999999999996</v>
      </c>
      <c r="W26" s="16">
        <f>_xll.BDH("AMZN US Equity","NET_INCOME","FQ1 2004","FQ1 2004","Currency=USD","Period=FQ","BEST_FPERIOD_OVERRIDE=FQ","FILING_STATUS=OR","SCALING_FORMAT=MLN","FA_ADJUSTED=GAAP","Sort=A","Dates=H","DateFormat=P","Fill=—","Direction=H","UseDPDF=Y")</f>
        <v>111.136</v>
      </c>
      <c r="X26" s="16">
        <f>_xll.BDH("AMZN US Equity","NET_INCOME","FQ2 2004","FQ2 2004","Currency=USD","Period=FQ","BEST_FPERIOD_OVERRIDE=FQ","FILING_STATUS=OR","SCALING_FORMAT=MLN","FA_ADJUSTED=GAAP","Sort=A","Dates=H","DateFormat=P","Fill=—","Direction=H","UseDPDF=Y")</f>
        <v>76.48</v>
      </c>
      <c r="Y26" s="16">
        <f>_xll.BDH("AMZN US Equity","NET_INCOME","FQ3 2004","FQ3 2004","Currency=USD","Period=FQ","BEST_FPERIOD_OVERRIDE=FQ","FILING_STATUS=OR","SCALING_FORMAT=MLN","FA_ADJUSTED=GAAP","Sort=A","Dates=H","DateFormat=P","Fill=—","Direction=H","UseDPDF=Y")</f>
        <v>54.146999999999998</v>
      </c>
      <c r="Z26" s="16">
        <f>_xll.BDH("AMZN US Equity","NET_INCOME","FQ4 2004","FQ4 2004","Currency=USD","Period=FQ","BEST_FPERIOD_OVERRIDE=FQ","FILING_STATUS=OR","SCALING_FORMAT=MLN","FA_ADJUSTED=GAAP","Sort=A","Dates=H","DateFormat=P","Fill=—","Direction=H","UseDPDF=Y")</f>
        <v>346.68799999999999</v>
      </c>
      <c r="AA26" s="16">
        <f>_xll.BDH("AMZN US Equity","NET_INCOME","FQ1 2005","FQ1 2005","Currency=USD","Period=FQ","BEST_FPERIOD_OVERRIDE=FQ","FILING_STATUS=OR","SCALING_FORMAT=MLN","FA_ADJUSTED=GAAP","Sort=A","Dates=H","DateFormat=P","Fill=—","Direction=H","UseDPDF=Y")</f>
        <v>78</v>
      </c>
      <c r="AB26" s="16">
        <f>_xll.BDH("AMZN US Equity","NET_INCOME","FQ2 2005","FQ2 2005","Currency=USD","Period=FQ","BEST_FPERIOD_OVERRIDE=FQ","FILING_STATUS=OR","SCALING_FORMAT=MLN","FA_ADJUSTED=GAAP","Sort=A","Dates=H","DateFormat=P","Fill=—","Direction=H","UseDPDF=Y")</f>
        <v>52</v>
      </c>
      <c r="AC26" s="16">
        <f>_xll.BDH("AMZN US Equity","NET_INCOME","FQ3 2005","FQ3 2005","Currency=USD","Period=FQ","BEST_FPERIOD_OVERRIDE=FQ","FILING_STATUS=OR","SCALING_FORMAT=MLN","FA_ADJUSTED=GAAP","Sort=A","Dates=H","DateFormat=P","Fill=—","Direction=H","UseDPDF=Y")</f>
        <v>30</v>
      </c>
      <c r="AD26" s="16">
        <f>_xll.BDH("AMZN US Equity","NET_INCOME","FQ4 2005","FQ4 2005","Currency=USD","Period=FQ","BEST_FPERIOD_OVERRIDE=FQ","FILING_STATUS=OR","SCALING_FORMAT=MLN","FA_ADJUSTED=GAAP","Sort=A","Dates=H","DateFormat=P","Fill=—","Direction=H","UseDPDF=Y")</f>
        <v>199</v>
      </c>
      <c r="AE26" s="16">
        <f>_xll.BDH("AMZN US Equity","NET_INCOME","FQ1 2006","FQ1 2006","Currency=USD","Period=FQ","BEST_FPERIOD_OVERRIDE=FQ","FILING_STATUS=OR","SCALING_FORMAT=MLN","FA_ADJUSTED=GAAP","Sort=A","Dates=H","DateFormat=P","Fill=—","Direction=H","UseDPDF=Y")</f>
        <v>51</v>
      </c>
      <c r="AF26" s="16">
        <f>_xll.BDH("AMZN US Equity","NET_INCOME","FQ2 2006","FQ2 2006","Currency=USD","Period=FQ","BEST_FPERIOD_OVERRIDE=FQ","FILING_STATUS=OR","SCALING_FORMAT=MLN","FA_ADJUSTED=GAAP","Sort=A","Dates=H","DateFormat=P","Fill=—","Direction=H","UseDPDF=Y")</f>
        <v>22</v>
      </c>
      <c r="AG26" s="16">
        <f>_xll.BDH("AMZN US Equity","NET_INCOME","FQ3 2006","FQ3 2006","Currency=USD","Period=FQ","BEST_FPERIOD_OVERRIDE=FQ","FILING_STATUS=OR","SCALING_FORMAT=MLN","FA_ADJUSTED=GAAP","Sort=A","Dates=H","DateFormat=P","Fill=—","Direction=H","UseDPDF=Y")</f>
        <v>19</v>
      </c>
      <c r="AH26" s="16">
        <f>_xll.BDH("AMZN US Equity","NET_INCOME","FQ4 2006","FQ4 2006","Currency=USD","Period=FQ","BEST_FPERIOD_OVERRIDE=FQ","FILING_STATUS=OR","SCALING_FORMAT=MLN","FA_ADJUSTED=GAAP","Sort=A","Dates=H","DateFormat=P","Fill=—","Direction=H","UseDPDF=Y")</f>
        <v>98</v>
      </c>
      <c r="AI26" s="16">
        <f>_xll.BDH("AMZN US Equity","NET_INCOME","FQ1 2007","FQ1 2007","Currency=USD","Period=FQ","BEST_FPERIOD_OVERRIDE=FQ","FILING_STATUS=OR","SCALING_FORMAT=MLN","FA_ADJUSTED=GAAP","Sort=A","Dates=H","DateFormat=P","Fill=—","Direction=H","UseDPDF=Y")</f>
        <v>111</v>
      </c>
      <c r="AJ26" s="16">
        <f>_xll.BDH("AMZN US Equity","NET_INCOME","FQ2 2007","FQ2 2007","Currency=USD","Period=FQ","BEST_FPERIOD_OVERRIDE=FQ","FILING_STATUS=OR","SCALING_FORMAT=MLN","FA_ADJUSTED=GAAP","Sort=A","Dates=H","DateFormat=P","Fill=—","Direction=H","UseDPDF=Y")</f>
        <v>78</v>
      </c>
      <c r="AK26" s="16">
        <f>_xll.BDH("AMZN US Equity","NET_INCOME","FQ3 2007","FQ3 2007","Currency=USD","Period=FQ","BEST_FPERIOD_OVERRIDE=FQ","FILING_STATUS=OR","SCALING_FORMAT=MLN","FA_ADJUSTED=GAAP","Sort=A","Dates=H","DateFormat=P","Fill=—","Direction=H","UseDPDF=Y")</f>
        <v>80</v>
      </c>
      <c r="AL26" s="16">
        <f>_xll.BDH("AMZN US Equity","NET_INCOME","FQ4 2007","FQ4 2007","Currency=USD","Period=FQ","BEST_FPERIOD_OVERRIDE=FQ","FILING_STATUS=OR","SCALING_FORMAT=MLN","FA_ADJUSTED=GAAP","Sort=A","Dates=H","DateFormat=P","Fill=—","Direction=H","UseDPDF=Y")</f>
        <v>207</v>
      </c>
      <c r="AM26" s="16">
        <f>_xll.BDH("AMZN US Equity","NET_INCOME","FQ1 2008","FQ1 2008","Currency=USD","Period=FQ","BEST_FPERIOD_OVERRIDE=FQ","FILING_STATUS=OR","SCALING_FORMAT=MLN","FA_ADJUSTED=GAAP","Sort=A","Dates=H","DateFormat=P","Fill=—","Direction=H","UseDPDF=Y")</f>
        <v>143</v>
      </c>
      <c r="AN26" s="16">
        <f>_xll.BDH("AMZN US Equity","NET_INCOME","FQ2 2008","FQ2 2008","Currency=USD","Period=FQ","BEST_FPERIOD_OVERRIDE=FQ","FILING_STATUS=OR","SCALING_FORMAT=MLN","FA_ADJUSTED=GAAP","Sort=A","Dates=H","DateFormat=P","Fill=—","Direction=H","UseDPDF=Y")</f>
        <v>158</v>
      </c>
      <c r="AO26" s="16">
        <f>_xll.BDH("AMZN US Equity","NET_INCOME","FQ3 2008","FQ3 2008","Currency=USD","Period=FQ","BEST_FPERIOD_OVERRIDE=FQ","FILING_STATUS=OR","SCALING_FORMAT=MLN","FA_ADJUSTED=GAAP","Sort=A","Dates=H","DateFormat=P","Fill=—","Direction=H","UseDPDF=Y")</f>
        <v>118</v>
      </c>
      <c r="AP26" s="16">
        <f>_xll.BDH("AMZN US Equity","NET_INCOME","FQ4 2008","FQ4 2008","Currency=USD","Period=FQ","BEST_FPERIOD_OVERRIDE=FQ","FILING_STATUS=OR","SCALING_FORMAT=MLN","FA_ADJUSTED=GAAP","Sort=A","Dates=H","DateFormat=P","Fill=—","Direction=H","UseDPDF=Y")</f>
        <v>225</v>
      </c>
    </row>
    <row r="27" spans="1:42" x14ac:dyDescent="0.25">
      <c r="A27" s="10" t="s">
        <v>127</v>
      </c>
      <c r="B27" s="10" t="s">
        <v>128</v>
      </c>
      <c r="C27" s="13">
        <f>_xll.BDH("AMZN US Equity","IS_TOT_CASH_PFD_DVD","FQ4 1998","FQ4 1998","Currency=USD","Period=FQ","BEST_FPERIOD_OVERRIDE=FQ","FILING_STATUS=OR","SCALING_FORMAT=MLN","Sort=A","Dates=H","DateFormat=P","Fill=—","Direction=H","UseDPDF=Y")</f>
        <v>0</v>
      </c>
      <c r="D27" s="13">
        <f>_xll.BDH("AMZN US Equity","IS_TOT_CASH_PFD_DVD","FQ1 1999","FQ1 1999","Currency=USD","Period=FQ","BEST_FPERIOD_OVERRIDE=FQ","FILING_STATUS=OR","SCALING_FORMAT=MLN","Sort=A","Dates=H","DateFormat=P","Fill=—","Direction=H","UseDPDF=Y")</f>
        <v>0</v>
      </c>
      <c r="E27" s="13">
        <f>_xll.BDH("AMZN US Equity","IS_TOT_CASH_PFD_DVD","FQ2 1999","FQ2 1999","Currency=USD","Period=FQ","BEST_FPERIOD_OVERRIDE=FQ","FILING_STATUS=OR","SCALING_FORMAT=MLN","Sort=A","Dates=H","DateFormat=P","Fill=—","Direction=H","UseDPDF=Y")</f>
        <v>0</v>
      </c>
      <c r="F27" s="13">
        <f>_xll.BDH("AMZN US Equity","IS_TOT_CASH_PFD_DVD","FQ3 1999","FQ3 1999","Currency=USD","Period=FQ","BEST_FPERIOD_OVERRIDE=FQ","FILING_STATUS=OR","SCALING_FORMAT=MLN","Sort=A","Dates=H","DateFormat=P","Fill=—","Direction=H","UseDPDF=Y")</f>
        <v>0</v>
      </c>
      <c r="G27" s="13">
        <f>_xll.BDH("AMZN US Equity","IS_TOT_CASH_PFD_DVD","FQ4 1999","FQ4 1999","Currency=USD","Period=FQ","BEST_FPERIOD_OVERRIDE=FQ","FILING_STATUS=OR","SCALING_FORMAT=MLN","Sort=A","Dates=H","DateFormat=P","Fill=—","Direction=H","UseDPDF=Y")</f>
        <v>0</v>
      </c>
      <c r="H27" s="13">
        <f>_xll.BDH("AMZN US Equity","IS_TOT_CASH_PFD_DVD","FQ1 2000","FQ1 2000","Currency=USD","Period=FQ","BEST_FPERIOD_OVERRIDE=FQ","FILING_STATUS=OR","SCALING_FORMAT=MLN","Sort=A","Dates=H","DateFormat=P","Fill=—","Direction=H","UseDPDF=Y")</f>
        <v>0</v>
      </c>
      <c r="I27" s="13">
        <f>_xll.BDH("AMZN US Equity","IS_TOT_CASH_PFD_DVD","FQ3 2000","FQ3 2000","Currency=USD","Period=FQ","BEST_FPERIOD_OVERRIDE=FQ","FILING_STATUS=OR","SCALING_FORMAT=MLN","Sort=A","Dates=H","DateFormat=P","Fill=—","Direction=H","UseDPDF=Y")</f>
        <v>0</v>
      </c>
      <c r="J27" s="13">
        <f>_xll.BDH("AMZN US Equity","IS_TOT_CASH_PFD_DVD","FQ4 2000","FQ4 2000","Currency=USD","Period=FQ","BEST_FPERIOD_OVERRIDE=FQ","FILING_STATUS=OR","SCALING_FORMAT=MLN","Sort=A","Dates=H","DateFormat=P","Fill=—","Direction=H","UseDPDF=Y")</f>
        <v>0</v>
      </c>
      <c r="K27" s="13">
        <f>_xll.BDH("AMZN US Equity","IS_TOT_CASH_PFD_DVD","FQ1 2001","FQ1 2001","Currency=USD","Period=FQ","BEST_FPERIOD_OVERRIDE=FQ","FILING_STATUS=OR","SCALING_FORMAT=MLN","Sort=A","Dates=H","DateFormat=P","Fill=—","Direction=H","UseDPDF=Y")</f>
        <v>0</v>
      </c>
      <c r="L27" s="13">
        <f>_xll.BDH("AMZN US Equity","IS_TOT_CASH_PFD_DVD","FQ2 2001","FQ2 2001","Currency=USD","Period=FQ","BEST_FPERIOD_OVERRIDE=FQ","FILING_STATUS=OR","SCALING_FORMAT=MLN","Sort=A","Dates=H","DateFormat=P","Fill=—","Direction=H","UseDPDF=Y")</f>
        <v>0</v>
      </c>
      <c r="M27" s="13">
        <f>_xll.BDH("AMZN US Equity","IS_TOT_CASH_PFD_DVD","FQ3 2001","FQ3 2001","Currency=USD","Period=FQ","BEST_FPERIOD_OVERRIDE=FQ","FILING_STATUS=OR","SCALING_FORMAT=MLN","Sort=A","Dates=H","DateFormat=P","Fill=—","Direction=H","UseDPDF=Y")</f>
        <v>0</v>
      </c>
      <c r="N27" s="13">
        <f>_xll.BDH("AMZN US Equity","IS_TOT_CASH_PFD_DVD","FQ4 2001","FQ4 2001","Currency=USD","Period=FQ","BEST_FPERIOD_OVERRIDE=FQ","FILING_STATUS=OR","SCALING_FORMAT=MLN","Sort=A","Dates=H","DateFormat=P","Fill=—","Direction=H","UseDPDF=Y")</f>
        <v>0</v>
      </c>
      <c r="O27" s="13">
        <f>_xll.BDH("AMZN US Equity","IS_TOT_CASH_PFD_DVD","FQ1 2002","FQ1 2002","Currency=USD","Period=FQ","BEST_FPERIOD_OVERRIDE=FQ","FILING_STATUS=OR","SCALING_FORMAT=MLN","Sort=A","Dates=H","DateFormat=P","Fill=—","Direction=H","UseDPDF=Y")</f>
        <v>0</v>
      </c>
      <c r="P27" s="13">
        <f>_xll.BDH("AMZN US Equity","IS_TOT_CASH_PFD_DVD","FQ2 2002","FQ2 2002","Currency=USD","Period=FQ","BEST_FPERIOD_OVERRIDE=FQ","FILING_STATUS=OR","SCALING_FORMAT=MLN","Sort=A","Dates=H","DateFormat=P","Fill=—","Direction=H","UseDPDF=Y")</f>
        <v>0</v>
      </c>
      <c r="Q27" s="13">
        <f>_xll.BDH("AMZN US Equity","IS_TOT_CASH_PFD_DVD","FQ3 2002","FQ3 2002","Currency=USD","Period=FQ","BEST_FPERIOD_OVERRIDE=FQ","FILING_STATUS=OR","SCALING_FORMAT=MLN","Sort=A","Dates=H","DateFormat=P","Fill=—","Direction=H","UseDPDF=Y")</f>
        <v>0</v>
      </c>
      <c r="R27" s="13">
        <f>_xll.BDH("AMZN US Equity","IS_TOT_CASH_PFD_DVD","FQ4 2002","FQ4 2002","Currency=USD","Period=FQ","BEST_FPERIOD_OVERRIDE=FQ","FILING_STATUS=OR","SCALING_FORMAT=MLN","Sort=A","Dates=H","DateFormat=P","Fill=—","Direction=H","UseDPDF=Y")</f>
        <v>0</v>
      </c>
      <c r="S27" s="13">
        <f>_xll.BDH("AMZN US Equity","IS_TOT_CASH_PFD_DVD","FQ1 2003","FQ1 2003","Currency=USD","Period=FQ","BEST_FPERIOD_OVERRIDE=FQ","FILING_STATUS=OR","SCALING_FORMAT=MLN","Sort=A","Dates=H","DateFormat=P","Fill=—","Direction=H","UseDPDF=Y")</f>
        <v>0</v>
      </c>
      <c r="T27" s="13">
        <f>_xll.BDH("AMZN US Equity","IS_TOT_CASH_PFD_DVD","FQ2 2003","FQ2 2003","Currency=USD","Period=FQ","BEST_FPERIOD_OVERRIDE=FQ","FILING_STATUS=OR","SCALING_FORMAT=MLN","Sort=A","Dates=H","DateFormat=P","Fill=—","Direction=H","UseDPDF=Y")</f>
        <v>0</v>
      </c>
      <c r="U27" s="13">
        <f>_xll.BDH("AMZN US Equity","IS_TOT_CASH_PFD_DVD","FQ3 2003","FQ3 2003","Currency=USD","Period=FQ","BEST_FPERIOD_OVERRIDE=FQ","FILING_STATUS=OR","SCALING_FORMAT=MLN","Sort=A","Dates=H","DateFormat=P","Fill=—","Direction=H","UseDPDF=Y")</f>
        <v>0</v>
      </c>
      <c r="V27" s="13">
        <f>_xll.BDH("AMZN US Equity","IS_TOT_CASH_PFD_DVD","FQ4 2003","FQ4 2003","Currency=USD","Period=FQ","BEST_FPERIOD_OVERRIDE=FQ","FILING_STATUS=OR","SCALING_FORMAT=MLN","Sort=A","Dates=H","DateFormat=P","Fill=—","Direction=H","UseDPDF=Y")</f>
        <v>0</v>
      </c>
      <c r="W27" s="13">
        <f>_xll.BDH("AMZN US Equity","IS_TOT_CASH_PFD_DVD","FQ1 2004","FQ1 2004","Currency=USD","Period=FQ","BEST_FPERIOD_OVERRIDE=FQ","FILING_STATUS=OR","SCALING_FORMAT=MLN","Sort=A","Dates=H","DateFormat=P","Fill=—","Direction=H","UseDPDF=Y")</f>
        <v>0</v>
      </c>
      <c r="X27" s="13">
        <f>_xll.BDH("AMZN US Equity","IS_TOT_CASH_PFD_DVD","FQ2 2004","FQ2 2004","Currency=USD","Period=FQ","BEST_FPERIOD_OVERRIDE=FQ","FILING_STATUS=OR","SCALING_FORMAT=MLN","Sort=A","Dates=H","DateFormat=P","Fill=—","Direction=H","UseDPDF=Y")</f>
        <v>0</v>
      </c>
      <c r="Y27" s="13">
        <f>_xll.BDH("AMZN US Equity","IS_TOT_CASH_PFD_DVD","FQ3 2004","FQ3 2004","Currency=USD","Period=FQ","BEST_FPERIOD_OVERRIDE=FQ","FILING_STATUS=OR","SCALING_FORMAT=MLN","Sort=A","Dates=H","DateFormat=P","Fill=—","Direction=H","UseDPDF=Y")</f>
        <v>0</v>
      </c>
      <c r="Z27" s="13">
        <f>_xll.BDH("AMZN US Equity","IS_TOT_CASH_PFD_DVD","FQ4 2004","FQ4 2004","Currency=USD","Period=FQ","BEST_FPERIOD_OVERRIDE=FQ","FILING_STATUS=OR","SCALING_FORMAT=MLN","Sort=A","Dates=H","DateFormat=P","Fill=—","Direction=H","UseDPDF=Y")</f>
        <v>0</v>
      </c>
      <c r="AA27" s="13">
        <f>_xll.BDH("AMZN US Equity","IS_TOT_CASH_PFD_DVD","FQ1 2005","FQ1 2005","Currency=USD","Period=FQ","BEST_FPERIOD_OVERRIDE=FQ","FILING_STATUS=OR","SCALING_FORMAT=MLN","Sort=A","Dates=H","DateFormat=P","Fill=—","Direction=H","UseDPDF=Y")</f>
        <v>0</v>
      </c>
      <c r="AB27" s="13">
        <f>_xll.BDH("AMZN US Equity","IS_TOT_CASH_PFD_DVD","FQ2 2005","FQ2 2005","Currency=USD","Period=FQ","BEST_FPERIOD_OVERRIDE=FQ","FILING_STATUS=OR","SCALING_FORMAT=MLN","Sort=A","Dates=H","DateFormat=P","Fill=—","Direction=H","UseDPDF=Y")</f>
        <v>0</v>
      </c>
      <c r="AC27" s="13">
        <f>_xll.BDH("AMZN US Equity","IS_TOT_CASH_PFD_DVD","FQ3 2005","FQ3 2005","Currency=USD","Period=FQ","BEST_FPERIOD_OVERRIDE=FQ","FILING_STATUS=OR","SCALING_FORMAT=MLN","Sort=A","Dates=H","DateFormat=P","Fill=—","Direction=H","UseDPDF=Y")</f>
        <v>0</v>
      </c>
      <c r="AD27" s="13">
        <f>_xll.BDH("AMZN US Equity","IS_TOT_CASH_PFD_DVD","FQ4 2005","FQ4 2005","Currency=USD","Period=FQ","BEST_FPERIOD_OVERRIDE=FQ","FILING_STATUS=OR","SCALING_FORMAT=MLN","Sort=A","Dates=H","DateFormat=P","Fill=—","Direction=H","UseDPDF=Y")</f>
        <v>0</v>
      </c>
      <c r="AE27" s="13">
        <f>_xll.BDH("AMZN US Equity","IS_TOT_CASH_PFD_DVD","FQ1 2006","FQ1 2006","Currency=USD","Period=FQ","BEST_FPERIOD_OVERRIDE=FQ","FILING_STATUS=OR","SCALING_FORMAT=MLN","Sort=A","Dates=H","DateFormat=P","Fill=—","Direction=H","UseDPDF=Y")</f>
        <v>0</v>
      </c>
      <c r="AF27" s="13">
        <f>_xll.BDH("AMZN US Equity","IS_TOT_CASH_PFD_DVD","FQ2 2006","FQ2 2006","Currency=USD","Period=FQ","BEST_FPERIOD_OVERRIDE=FQ","FILING_STATUS=OR","SCALING_FORMAT=MLN","Sort=A","Dates=H","DateFormat=P","Fill=—","Direction=H","UseDPDF=Y")</f>
        <v>0</v>
      </c>
      <c r="AG27" s="13">
        <f>_xll.BDH("AMZN US Equity","IS_TOT_CASH_PFD_DVD","FQ3 2006","FQ3 2006","Currency=USD","Period=FQ","BEST_FPERIOD_OVERRIDE=FQ","FILING_STATUS=OR","SCALING_FORMAT=MLN","Sort=A","Dates=H","DateFormat=P","Fill=—","Direction=H","UseDPDF=Y")</f>
        <v>0</v>
      </c>
      <c r="AH27" s="13">
        <f>_xll.BDH("AMZN US Equity","IS_TOT_CASH_PFD_DVD","FQ4 2006","FQ4 2006","Currency=USD","Period=FQ","BEST_FPERIOD_OVERRIDE=FQ","FILING_STATUS=OR","SCALING_FORMAT=MLN","Sort=A","Dates=H","DateFormat=P","Fill=—","Direction=H","UseDPDF=Y")</f>
        <v>0</v>
      </c>
      <c r="AI27" s="13">
        <f>_xll.BDH("AMZN US Equity","IS_TOT_CASH_PFD_DVD","FQ1 2007","FQ1 2007","Currency=USD","Period=FQ","BEST_FPERIOD_OVERRIDE=FQ","FILING_STATUS=OR","SCALING_FORMAT=MLN","Sort=A","Dates=H","DateFormat=P","Fill=—","Direction=H","UseDPDF=Y")</f>
        <v>0</v>
      </c>
      <c r="AJ27" s="13">
        <f>_xll.BDH("AMZN US Equity","IS_TOT_CASH_PFD_DVD","FQ2 2007","FQ2 2007","Currency=USD","Period=FQ","BEST_FPERIOD_OVERRIDE=FQ","FILING_STATUS=OR","SCALING_FORMAT=MLN","Sort=A","Dates=H","DateFormat=P","Fill=—","Direction=H","UseDPDF=Y")</f>
        <v>0</v>
      </c>
      <c r="AK27" s="13">
        <f>_xll.BDH("AMZN US Equity","IS_TOT_CASH_PFD_DVD","FQ3 2007","FQ3 2007","Currency=USD","Period=FQ","BEST_FPERIOD_OVERRIDE=FQ","FILING_STATUS=OR","SCALING_FORMAT=MLN","Sort=A","Dates=H","DateFormat=P","Fill=—","Direction=H","UseDPDF=Y")</f>
        <v>0</v>
      </c>
      <c r="AL27" s="13">
        <f>_xll.BDH("AMZN US Equity","IS_TOT_CASH_PFD_DVD","FQ4 2007","FQ4 2007","Currency=USD","Period=FQ","BEST_FPERIOD_OVERRIDE=FQ","FILING_STATUS=OR","SCALING_FORMAT=MLN","Sort=A","Dates=H","DateFormat=P","Fill=—","Direction=H","UseDPDF=Y")</f>
        <v>0</v>
      </c>
      <c r="AM27" s="13">
        <f>_xll.BDH("AMZN US Equity","IS_TOT_CASH_PFD_DVD","FQ1 2008","FQ1 2008","Currency=USD","Period=FQ","BEST_FPERIOD_OVERRIDE=FQ","FILING_STATUS=OR","SCALING_FORMAT=MLN","Sort=A","Dates=H","DateFormat=P","Fill=—","Direction=H","UseDPDF=Y")</f>
        <v>0</v>
      </c>
      <c r="AN27" s="13">
        <f>_xll.BDH("AMZN US Equity","IS_TOT_CASH_PFD_DVD","FQ2 2008","FQ2 2008","Currency=USD","Period=FQ","BEST_FPERIOD_OVERRIDE=FQ","FILING_STATUS=OR","SCALING_FORMAT=MLN","Sort=A","Dates=H","DateFormat=P","Fill=—","Direction=H","UseDPDF=Y")</f>
        <v>0</v>
      </c>
      <c r="AO27" s="13">
        <f>_xll.BDH("AMZN US Equity","IS_TOT_CASH_PFD_DVD","FQ3 2008","FQ3 2008","Currency=USD","Period=FQ","BEST_FPERIOD_OVERRIDE=FQ","FILING_STATUS=OR","SCALING_FORMAT=MLN","Sort=A","Dates=H","DateFormat=P","Fill=—","Direction=H","UseDPDF=Y")</f>
        <v>0</v>
      </c>
      <c r="AP27" s="13">
        <f>_xll.BDH("AMZN US Equity","IS_TOT_CASH_PFD_DVD","FQ4 2008","FQ4 2008","Currency=USD","Period=FQ","BEST_FPERIOD_OVERRIDE=FQ","FILING_STATUS=OR","SCALING_FORMAT=MLN","Sort=A","Dates=H","DateFormat=P","Fill=—","Direction=H","UseDPDF=Y")</f>
        <v>0</v>
      </c>
    </row>
    <row r="28" spans="1:42" x14ac:dyDescent="0.25">
      <c r="A28" s="10" t="s">
        <v>129</v>
      </c>
      <c r="B28" s="10" t="s">
        <v>130</v>
      </c>
      <c r="C28" s="13" t="str">
        <f>_xll.BDH("AMZN US Equity","OTHER_ADJUSTMENTS","FQ4 1998","FQ4 1998","Currency=USD","Period=FQ","BEST_FPERIOD_OVERRIDE=FQ","FILING_STATUS=OR","SCALING_FORMAT=MLN","Sort=A","Dates=H","DateFormat=P","Fill=—","Direction=H","UseDPDF=Y")</f>
        <v>—</v>
      </c>
      <c r="D28" s="13" t="str">
        <f>_xll.BDH("AMZN US Equity","OTHER_ADJUSTMENTS","FQ1 1999","FQ1 1999","Currency=USD","Period=FQ","BEST_FPERIOD_OVERRIDE=FQ","FILING_STATUS=OR","SCALING_FORMAT=MLN","Sort=A","Dates=H","DateFormat=P","Fill=—","Direction=H","UseDPDF=Y")</f>
        <v>—</v>
      </c>
      <c r="E28" s="13" t="str">
        <f>_xll.BDH("AMZN US Equity","OTHER_ADJUSTMENTS","FQ2 1999","FQ2 1999","Currency=USD","Period=FQ","BEST_FPERIOD_OVERRIDE=FQ","FILING_STATUS=OR","SCALING_FORMAT=MLN","Sort=A","Dates=H","DateFormat=P","Fill=—","Direction=H","UseDPDF=Y")</f>
        <v>—</v>
      </c>
      <c r="F28" s="13" t="str">
        <f>_xll.BDH("AMZN US Equity","OTHER_ADJUSTMENTS","FQ3 1999","FQ3 1999","Currency=USD","Period=FQ","BEST_FPERIOD_OVERRIDE=FQ","FILING_STATUS=OR","SCALING_FORMAT=MLN","Sort=A","Dates=H","DateFormat=P","Fill=—","Direction=H","UseDPDF=Y")</f>
        <v>—</v>
      </c>
      <c r="G28" s="13" t="str">
        <f>_xll.BDH("AMZN US Equity","OTHER_ADJUSTMENTS","FQ4 1999","FQ4 1999","Currency=USD","Period=FQ","BEST_FPERIOD_OVERRIDE=FQ","FILING_STATUS=OR","SCALING_FORMAT=MLN","Sort=A","Dates=H","DateFormat=P","Fill=—","Direction=H","UseDPDF=Y")</f>
        <v>—</v>
      </c>
      <c r="H28" s="13">
        <f>_xll.BDH("AMZN US Equity","OTHER_ADJUSTMENTS","FQ1 2000","FQ1 2000","Currency=USD","Period=FQ","BEST_FPERIOD_OVERRIDE=FQ","FILING_STATUS=OR","SCALING_FORMAT=MLN","Sort=A","Dates=H","DateFormat=P","Fill=—","Direction=H","UseDPDF=Y")</f>
        <v>0</v>
      </c>
      <c r="I28" s="13">
        <f>_xll.BDH("AMZN US Equity","OTHER_ADJUSTMENTS","FQ3 2000","FQ3 2000","Currency=USD","Period=FQ","BEST_FPERIOD_OVERRIDE=FQ","FILING_STATUS=OR","SCALING_FORMAT=MLN","Sort=A","Dates=H","DateFormat=P","Fill=—","Direction=H","UseDPDF=Y")</f>
        <v>0</v>
      </c>
      <c r="J28" s="13">
        <f>_xll.BDH("AMZN US Equity","OTHER_ADJUSTMENTS","FQ4 2000","FQ4 2000","Currency=USD","Period=FQ","BEST_FPERIOD_OVERRIDE=FQ","FILING_STATUS=OR","SCALING_FORMAT=MLN","Sort=A","Dates=H","DateFormat=P","Fill=—","Direction=H","UseDPDF=Y")</f>
        <v>0</v>
      </c>
      <c r="K28" s="13">
        <f>_xll.BDH("AMZN US Equity","OTHER_ADJUSTMENTS","FQ1 2001","FQ1 2001","Currency=USD","Period=FQ","BEST_FPERIOD_OVERRIDE=FQ","FILING_STATUS=OR","SCALING_FORMAT=MLN","Sort=A","Dates=H","DateFormat=P","Fill=—","Direction=H","UseDPDF=Y")</f>
        <v>0</v>
      </c>
      <c r="L28" s="13">
        <f>_xll.BDH("AMZN US Equity","OTHER_ADJUSTMENTS","FQ2 2001","FQ2 2001","Currency=USD","Period=FQ","BEST_FPERIOD_OVERRIDE=FQ","FILING_STATUS=OR","SCALING_FORMAT=MLN","Sort=A","Dates=H","DateFormat=P","Fill=—","Direction=H","UseDPDF=Y")</f>
        <v>0</v>
      </c>
      <c r="M28" s="13">
        <f>_xll.BDH("AMZN US Equity","OTHER_ADJUSTMENTS","FQ3 2001","FQ3 2001","Currency=USD","Period=FQ","BEST_FPERIOD_OVERRIDE=FQ","FILING_STATUS=OR","SCALING_FORMAT=MLN","Sort=A","Dates=H","DateFormat=P","Fill=—","Direction=H","UseDPDF=Y")</f>
        <v>0</v>
      </c>
      <c r="N28" s="13">
        <f>_xll.BDH("AMZN US Equity","OTHER_ADJUSTMENTS","FQ4 2001","FQ4 2001","Currency=USD","Period=FQ","BEST_FPERIOD_OVERRIDE=FQ","FILING_STATUS=OR","SCALING_FORMAT=MLN","Sort=A","Dates=H","DateFormat=P","Fill=—","Direction=H","UseDPDF=Y")</f>
        <v>0</v>
      </c>
      <c r="O28" s="13">
        <f>_xll.BDH("AMZN US Equity","OTHER_ADJUSTMENTS","FQ1 2002","FQ1 2002","Currency=USD","Period=FQ","BEST_FPERIOD_OVERRIDE=FQ","FILING_STATUS=OR","SCALING_FORMAT=MLN","Sort=A","Dates=H","DateFormat=P","Fill=—","Direction=H","UseDPDF=Y")</f>
        <v>0</v>
      </c>
      <c r="P28" s="13">
        <f>_xll.BDH("AMZN US Equity","OTHER_ADJUSTMENTS","FQ2 2002","FQ2 2002","Currency=USD","Period=FQ","BEST_FPERIOD_OVERRIDE=FQ","FILING_STATUS=OR","SCALING_FORMAT=MLN","Sort=A","Dates=H","DateFormat=P","Fill=—","Direction=H","UseDPDF=Y")</f>
        <v>0</v>
      </c>
      <c r="Q28" s="13">
        <f>_xll.BDH("AMZN US Equity","OTHER_ADJUSTMENTS","FQ3 2002","FQ3 2002","Currency=USD","Period=FQ","BEST_FPERIOD_OVERRIDE=FQ","FILING_STATUS=OR","SCALING_FORMAT=MLN","Sort=A","Dates=H","DateFormat=P","Fill=—","Direction=H","UseDPDF=Y")</f>
        <v>0</v>
      </c>
      <c r="R28" s="13">
        <f>_xll.BDH("AMZN US Equity","OTHER_ADJUSTMENTS","FQ4 2002","FQ4 2002","Currency=USD","Period=FQ","BEST_FPERIOD_OVERRIDE=FQ","FILING_STATUS=OR","SCALING_FORMAT=MLN","Sort=A","Dates=H","DateFormat=P","Fill=—","Direction=H","UseDPDF=Y")</f>
        <v>0</v>
      </c>
      <c r="S28" s="13">
        <f>_xll.BDH("AMZN US Equity","OTHER_ADJUSTMENTS","FQ1 2003","FQ1 2003","Currency=USD","Period=FQ","BEST_FPERIOD_OVERRIDE=FQ","FILING_STATUS=OR","SCALING_FORMAT=MLN","Sort=A","Dates=H","DateFormat=P","Fill=—","Direction=H","UseDPDF=Y")</f>
        <v>0</v>
      </c>
      <c r="T28" s="13">
        <f>_xll.BDH("AMZN US Equity","OTHER_ADJUSTMENTS","FQ2 2003","FQ2 2003","Currency=USD","Period=FQ","BEST_FPERIOD_OVERRIDE=FQ","FILING_STATUS=OR","SCALING_FORMAT=MLN","Sort=A","Dates=H","DateFormat=P","Fill=—","Direction=H","UseDPDF=Y")</f>
        <v>0</v>
      </c>
      <c r="U28" s="13">
        <f>_xll.BDH("AMZN US Equity","OTHER_ADJUSTMENTS","FQ3 2003","FQ3 2003","Currency=USD","Period=FQ","BEST_FPERIOD_OVERRIDE=FQ","FILING_STATUS=OR","SCALING_FORMAT=MLN","Sort=A","Dates=H","DateFormat=P","Fill=—","Direction=H","UseDPDF=Y")</f>
        <v>0</v>
      </c>
      <c r="V28" s="13">
        <f>_xll.BDH("AMZN US Equity","OTHER_ADJUSTMENTS","FQ4 2003","FQ4 2003","Currency=USD","Period=FQ","BEST_FPERIOD_OVERRIDE=FQ","FILING_STATUS=OR","SCALING_FORMAT=MLN","Sort=A","Dates=H","DateFormat=P","Fill=—","Direction=H","UseDPDF=Y")</f>
        <v>0</v>
      </c>
      <c r="W28" s="13">
        <f>_xll.BDH("AMZN US Equity","OTHER_ADJUSTMENTS","FQ1 2004","FQ1 2004","Currency=USD","Period=FQ","BEST_FPERIOD_OVERRIDE=FQ","FILING_STATUS=OR","SCALING_FORMAT=MLN","Sort=A","Dates=H","DateFormat=P","Fill=—","Direction=H","UseDPDF=Y")</f>
        <v>0</v>
      </c>
      <c r="X28" s="13">
        <f>_xll.BDH("AMZN US Equity","OTHER_ADJUSTMENTS","FQ2 2004","FQ2 2004","Currency=USD","Period=FQ","BEST_FPERIOD_OVERRIDE=FQ","FILING_STATUS=OR","SCALING_FORMAT=MLN","Sort=A","Dates=H","DateFormat=P","Fill=—","Direction=H","UseDPDF=Y")</f>
        <v>0</v>
      </c>
      <c r="Y28" s="13">
        <f>_xll.BDH("AMZN US Equity","OTHER_ADJUSTMENTS","FQ3 2004","FQ3 2004","Currency=USD","Period=FQ","BEST_FPERIOD_OVERRIDE=FQ","FILING_STATUS=OR","SCALING_FORMAT=MLN","Sort=A","Dates=H","DateFormat=P","Fill=—","Direction=H","UseDPDF=Y")</f>
        <v>0</v>
      </c>
      <c r="Z28" s="13">
        <f>_xll.BDH("AMZN US Equity","OTHER_ADJUSTMENTS","FQ4 2004","FQ4 2004","Currency=USD","Period=FQ","BEST_FPERIOD_OVERRIDE=FQ","FILING_STATUS=OR","SCALING_FORMAT=MLN","Sort=A","Dates=H","DateFormat=P","Fill=—","Direction=H","UseDPDF=Y")</f>
        <v>0</v>
      </c>
      <c r="AA28" s="13">
        <f>_xll.BDH("AMZN US Equity","OTHER_ADJUSTMENTS","FQ1 2005","FQ1 2005","Currency=USD","Period=FQ","BEST_FPERIOD_OVERRIDE=FQ","FILING_STATUS=OR","SCALING_FORMAT=MLN","Sort=A","Dates=H","DateFormat=P","Fill=—","Direction=H","UseDPDF=Y")</f>
        <v>0</v>
      </c>
      <c r="AB28" s="13">
        <f>_xll.BDH("AMZN US Equity","OTHER_ADJUSTMENTS","FQ2 2005","FQ2 2005","Currency=USD","Period=FQ","BEST_FPERIOD_OVERRIDE=FQ","FILING_STATUS=OR","SCALING_FORMAT=MLN","Sort=A","Dates=H","DateFormat=P","Fill=—","Direction=H","UseDPDF=Y")</f>
        <v>0</v>
      </c>
      <c r="AC28" s="13">
        <f>_xll.BDH("AMZN US Equity","OTHER_ADJUSTMENTS","FQ3 2005","FQ3 2005","Currency=USD","Period=FQ","BEST_FPERIOD_OVERRIDE=FQ","FILING_STATUS=OR","SCALING_FORMAT=MLN","Sort=A","Dates=H","DateFormat=P","Fill=—","Direction=H","UseDPDF=Y")</f>
        <v>0</v>
      </c>
      <c r="AD28" s="13">
        <f>_xll.BDH("AMZN US Equity","OTHER_ADJUSTMENTS","FQ4 2005","FQ4 2005","Currency=USD","Period=FQ","BEST_FPERIOD_OVERRIDE=FQ","FILING_STATUS=OR","SCALING_FORMAT=MLN","Sort=A","Dates=H","DateFormat=P","Fill=—","Direction=H","UseDPDF=Y")</f>
        <v>0</v>
      </c>
      <c r="AE28" s="13">
        <f>_xll.BDH("AMZN US Equity","OTHER_ADJUSTMENTS","FQ1 2006","FQ1 2006","Currency=USD","Period=FQ","BEST_FPERIOD_OVERRIDE=FQ","FILING_STATUS=OR","SCALING_FORMAT=MLN","Sort=A","Dates=H","DateFormat=P","Fill=—","Direction=H","UseDPDF=Y")</f>
        <v>0</v>
      </c>
      <c r="AF28" s="13">
        <f>_xll.BDH("AMZN US Equity","OTHER_ADJUSTMENTS","FQ2 2006","FQ2 2006","Currency=USD","Period=FQ","BEST_FPERIOD_OVERRIDE=FQ","FILING_STATUS=OR","SCALING_FORMAT=MLN","Sort=A","Dates=H","DateFormat=P","Fill=—","Direction=H","UseDPDF=Y")</f>
        <v>0</v>
      </c>
      <c r="AG28" s="13">
        <f>_xll.BDH("AMZN US Equity","OTHER_ADJUSTMENTS","FQ3 2006","FQ3 2006","Currency=USD","Period=FQ","BEST_FPERIOD_OVERRIDE=FQ","FILING_STATUS=OR","SCALING_FORMAT=MLN","Sort=A","Dates=H","DateFormat=P","Fill=—","Direction=H","UseDPDF=Y")</f>
        <v>0</v>
      </c>
      <c r="AH28" s="13">
        <f>_xll.BDH("AMZN US Equity","OTHER_ADJUSTMENTS","FQ4 2006","FQ4 2006","Currency=USD","Period=FQ","BEST_FPERIOD_OVERRIDE=FQ","FILING_STATUS=OR","SCALING_FORMAT=MLN","Sort=A","Dates=H","DateFormat=P","Fill=—","Direction=H","UseDPDF=Y")</f>
        <v>0</v>
      </c>
      <c r="AI28" s="13">
        <f>_xll.BDH("AMZN US Equity","OTHER_ADJUSTMENTS","FQ1 2007","FQ1 2007","Currency=USD","Period=FQ","BEST_FPERIOD_OVERRIDE=FQ","FILING_STATUS=OR","SCALING_FORMAT=MLN","Sort=A","Dates=H","DateFormat=P","Fill=—","Direction=H","UseDPDF=Y")</f>
        <v>0</v>
      </c>
      <c r="AJ28" s="13">
        <f>_xll.BDH("AMZN US Equity","OTHER_ADJUSTMENTS","FQ2 2007","FQ2 2007","Currency=USD","Period=FQ","BEST_FPERIOD_OVERRIDE=FQ","FILING_STATUS=OR","SCALING_FORMAT=MLN","Sort=A","Dates=H","DateFormat=P","Fill=—","Direction=H","UseDPDF=Y")</f>
        <v>0</v>
      </c>
      <c r="AK28" s="13">
        <f>_xll.BDH("AMZN US Equity","OTHER_ADJUSTMENTS","FQ3 2007","FQ3 2007","Currency=USD","Period=FQ","BEST_FPERIOD_OVERRIDE=FQ","FILING_STATUS=OR","SCALING_FORMAT=MLN","Sort=A","Dates=H","DateFormat=P","Fill=—","Direction=H","UseDPDF=Y")</f>
        <v>0</v>
      </c>
      <c r="AL28" s="13">
        <f>_xll.BDH("AMZN US Equity","OTHER_ADJUSTMENTS","FQ4 2007","FQ4 2007","Currency=USD","Period=FQ","BEST_FPERIOD_OVERRIDE=FQ","FILING_STATUS=OR","SCALING_FORMAT=MLN","Sort=A","Dates=H","DateFormat=P","Fill=—","Direction=H","UseDPDF=Y")</f>
        <v>0</v>
      </c>
      <c r="AM28" s="13">
        <f>_xll.BDH("AMZN US Equity","OTHER_ADJUSTMENTS","FQ1 2008","FQ1 2008","Currency=USD","Period=FQ","BEST_FPERIOD_OVERRIDE=FQ","FILING_STATUS=OR","SCALING_FORMAT=MLN","Sort=A","Dates=H","DateFormat=P","Fill=—","Direction=H","UseDPDF=Y")</f>
        <v>0</v>
      </c>
      <c r="AN28" s="13">
        <f>_xll.BDH("AMZN US Equity","OTHER_ADJUSTMENTS","FQ2 2008","FQ2 2008","Currency=USD","Period=FQ","BEST_FPERIOD_OVERRIDE=FQ","FILING_STATUS=OR","SCALING_FORMAT=MLN","Sort=A","Dates=H","DateFormat=P","Fill=—","Direction=H","UseDPDF=Y")</f>
        <v>0</v>
      </c>
      <c r="AO28" s="13">
        <f>_xll.BDH("AMZN US Equity","OTHER_ADJUSTMENTS","FQ3 2008","FQ3 2008","Currency=USD","Period=FQ","BEST_FPERIOD_OVERRIDE=FQ","FILING_STATUS=OR","SCALING_FORMAT=MLN","Sort=A","Dates=H","DateFormat=P","Fill=—","Direction=H","UseDPDF=Y")</f>
        <v>0</v>
      </c>
      <c r="AP28" s="13">
        <f>_xll.BDH("AMZN US Equity","OTHER_ADJUSTMENTS","FQ4 2008","FQ4 2008","Currency=USD","Period=FQ","BEST_FPERIOD_OVERRIDE=FQ","FILING_STATUS=OR","SCALING_FORMAT=MLN","Sort=A","Dates=H","DateFormat=P","Fill=—","Direction=H","UseDPDF=Y")</f>
        <v>0</v>
      </c>
    </row>
    <row r="29" spans="1:42" x14ac:dyDescent="0.25">
      <c r="A29" s="6" t="s">
        <v>131</v>
      </c>
      <c r="B29" s="6" t="s">
        <v>132</v>
      </c>
      <c r="C29" s="16">
        <f>_xll.BDH("AMZN US Equity","EARN_FOR_COMMON","FQ4 1998","FQ4 1998","Currency=USD","Period=FQ","BEST_FPERIOD_OVERRIDE=FQ","FILING_STATUS=OR","SCALING_FORMAT=MLN","FA_ADJUSTED=GAAP","Sort=A","Dates=H","DateFormat=P","Fill=—","Direction=H","UseDPDF=Y")</f>
        <v>-46.427</v>
      </c>
      <c r="D29" s="16">
        <f>_xll.BDH("AMZN US Equity","EARN_FOR_COMMON","FQ1 1999","FQ1 1999","Currency=USD","Period=FQ","BEST_FPERIOD_OVERRIDE=FQ","FILING_STATUS=OR","SCALING_FORMAT=MLN","FA_ADJUSTED=GAAP","Sort=A","Dates=H","DateFormat=P","Fill=—","Direction=H","UseDPDF=Y")</f>
        <v>-61.667000000000002</v>
      </c>
      <c r="E29" s="16">
        <f>_xll.BDH("AMZN US Equity","EARN_FOR_COMMON","FQ2 1999","FQ2 1999","Currency=USD","Period=FQ","BEST_FPERIOD_OVERRIDE=FQ","FILING_STATUS=OR","SCALING_FORMAT=MLN","FA_ADJUSTED=GAAP","Sort=A","Dates=H","DateFormat=P","Fill=—","Direction=H","UseDPDF=Y")</f>
        <v>-138.00800000000001</v>
      </c>
      <c r="F29" s="16">
        <f>_xll.BDH("AMZN US Equity","EARN_FOR_COMMON","FQ3 1999","FQ3 1999","Currency=USD","Period=FQ","BEST_FPERIOD_OVERRIDE=FQ","FILING_STATUS=OR","SCALING_FORMAT=MLN","FA_ADJUSTED=GAAP","Sort=A","Dates=H","DateFormat=P","Fill=—","Direction=H","UseDPDF=Y")</f>
        <v>-197.08</v>
      </c>
      <c r="G29" s="16">
        <f>_xll.BDH("AMZN US Equity","EARN_FOR_COMMON","FQ4 1999","FQ4 1999","Currency=USD","Period=FQ","BEST_FPERIOD_OVERRIDE=FQ","FILING_STATUS=OR","SCALING_FORMAT=MLN","FA_ADJUSTED=GAAP","Sort=A","Dates=H","DateFormat=P","Fill=—","Direction=H","UseDPDF=Y")</f>
        <v>-323.21300000000002</v>
      </c>
      <c r="H29" s="16">
        <f>_xll.BDH("AMZN US Equity","EARN_FOR_COMMON","FQ1 2000","FQ1 2000","Currency=USD","Period=FQ","BEST_FPERIOD_OVERRIDE=FQ","FILING_STATUS=OR","SCALING_FORMAT=MLN","FA_ADJUSTED=GAAP","Sort=A","Dates=H","DateFormat=P","Fill=—","Direction=H","UseDPDF=Y")</f>
        <v>-308.42500000000001</v>
      </c>
      <c r="I29" s="16">
        <f>_xll.BDH("AMZN US Equity","EARN_FOR_COMMON","FQ3 2000","FQ3 2000","Currency=USD","Period=FQ","BEST_FPERIOD_OVERRIDE=FQ","FILING_STATUS=OR","SCALING_FORMAT=MLN","FA_ADJUSTED=GAAP","Sort=A","Dates=H","DateFormat=P","Fill=—","Direction=H","UseDPDF=Y")</f>
        <v>-240.524</v>
      </c>
      <c r="J29" s="16">
        <f>_xll.BDH("AMZN US Equity","EARN_FOR_COMMON","FQ4 2000","FQ4 2000","Currency=USD","Period=FQ","BEST_FPERIOD_OVERRIDE=FQ","FILING_STATUS=OR","SCALING_FORMAT=MLN","FA_ADJUSTED=GAAP","Sort=A","Dates=H","DateFormat=P","Fill=—","Direction=H","UseDPDF=Y")</f>
        <v>-545.14</v>
      </c>
      <c r="K29" s="16">
        <f>_xll.BDH("AMZN US Equity","EARN_FOR_COMMON","FQ1 2001","FQ1 2001","Currency=USD","Period=FQ","BEST_FPERIOD_OVERRIDE=FQ","FILING_STATUS=OR","SCALING_FORMAT=MLN","FA_ADJUSTED=GAAP","Sort=A","Dates=H","DateFormat=P","Fill=—","Direction=H","UseDPDF=Y")</f>
        <v>-234.131</v>
      </c>
      <c r="L29" s="16">
        <f>_xll.BDH("AMZN US Equity","EARN_FOR_COMMON","FQ2 2001","FQ2 2001","Currency=USD","Period=FQ","BEST_FPERIOD_OVERRIDE=FQ","FILING_STATUS=OR","SCALING_FORMAT=MLN","FA_ADJUSTED=GAAP","Sort=A","Dates=H","DateFormat=P","Fill=—","Direction=H","UseDPDF=Y")</f>
        <v>-168.35900000000001</v>
      </c>
      <c r="M29" s="16">
        <f>_xll.BDH("AMZN US Equity","EARN_FOR_COMMON","FQ3 2001","FQ3 2001","Currency=USD","Period=FQ","BEST_FPERIOD_OVERRIDE=FQ","FILING_STATUS=OR","SCALING_FORMAT=MLN","FA_ADJUSTED=GAAP","Sort=A","Dates=H","DateFormat=P","Fill=—","Direction=H","UseDPDF=Y")</f>
        <v>-169.874</v>
      </c>
      <c r="N29" s="16">
        <f>_xll.BDH("AMZN US Equity","EARN_FOR_COMMON","FQ4 2001","FQ4 2001","Currency=USD","Period=FQ","BEST_FPERIOD_OVERRIDE=FQ","FILING_STATUS=OR","SCALING_FORMAT=MLN","FA_ADJUSTED=GAAP","Sort=A","Dates=H","DateFormat=P","Fill=—","Direction=H","UseDPDF=Y")</f>
        <v>5.0869999999999997</v>
      </c>
      <c r="O29" s="16">
        <f>_xll.BDH("AMZN US Equity","EARN_FOR_COMMON","FQ1 2002","FQ1 2002","Currency=USD","Period=FQ","BEST_FPERIOD_OVERRIDE=FQ","FILING_STATUS=OR","SCALING_FORMAT=MLN","FA_ADJUSTED=GAAP","Sort=A","Dates=H","DateFormat=P","Fill=—","Direction=H","UseDPDF=Y")</f>
        <v>-23.15</v>
      </c>
      <c r="P29" s="16">
        <f>_xll.BDH("AMZN US Equity","EARN_FOR_COMMON","FQ2 2002","FQ2 2002","Currency=USD","Period=FQ","BEST_FPERIOD_OVERRIDE=FQ","FILING_STATUS=OR","SCALING_FORMAT=MLN","FA_ADJUSTED=GAAP","Sort=A","Dates=H","DateFormat=P","Fill=—","Direction=H","UseDPDF=Y")</f>
        <v>-93.552999999999997</v>
      </c>
      <c r="Q29" s="16">
        <f>_xll.BDH("AMZN US Equity","EARN_FOR_COMMON","FQ3 2002","FQ3 2002","Currency=USD","Period=FQ","BEST_FPERIOD_OVERRIDE=FQ","FILING_STATUS=OR","SCALING_FORMAT=MLN","FA_ADJUSTED=GAAP","Sort=A","Dates=H","DateFormat=P","Fill=—","Direction=H","UseDPDF=Y")</f>
        <v>-35.08</v>
      </c>
      <c r="R29" s="16">
        <f>_xll.BDH("AMZN US Equity","EARN_FOR_COMMON","FQ4 2002","FQ4 2002","Currency=USD","Period=FQ","BEST_FPERIOD_OVERRIDE=FQ","FILING_STATUS=OR","SCALING_FORMAT=MLN","FA_ADJUSTED=GAAP","Sort=A","Dates=H","DateFormat=P","Fill=—","Direction=H","UseDPDF=Y")</f>
        <v>2.6509999999999998</v>
      </c>
      <c r="S29" s="16">
        <f>_xll.BDH("AMZN US Equity","EARN_FOR_COMMON","FQ1 2003","FQ1 2003","Currency=USD","Period=FQ","BEST_FPERIOD_OVERRIDE=FQ","FILING_STATUS=OR","SCALING_FORMAT=MLN","FA_ADJUSTED=GAAP","Sort=A","Dates=H","DateFormat=P","Fill=—","Direction=H","UseDPDF=Y")</f>
        <v>-10.121</v>
      </c>
      <c r="T29" s="16">
        <f>_xll.BDH("AMZN US Equity","EARN_FOR_COMMON","FQ2 2003","FQ2 2003","Currency=USD","Period=FQ","BEST_FPERIOD_OVERRIDE=FQ","FILING_STATUS=OR","SCALING_FORMAT=MLN","FA_ADJUSTED=GAAP","Sort=A","Dates=H","DateFormat=P","Fill=—","Direction=H","UseDPDF=Y")</f>
        <v>-43.314</v>
      </c>
      <c r="U29" s="16">
        <f>_xll.BDH("AMZN US Equity","EARN_FOR_COMMON","FQ3 2003","FQ3 2003","Currency=USD","Period=FQ","BEST_FPERIOD_OVERRIDE=FQ","FILING_STATUS=OR","SCALING_FORMAT=MLN","FA_ADJUSTED=GAAP","Sort=A","Dates=H","DateFormat=P","Fill=—","Direction=H","UseDPDF=Y")</f>
        <v>15.563000000000001</v>
      </c>
      <c r="V29" s="16">
        <f>_xll.BDH("AMZN US Equity","EARN_FOR_COMMON","FQ4 2003","FQ4 2003","Currency=USD","Period=FQ","BEST_FPERIOD_OVERRIDE=FQ","FILING_STATUS=OR","SCALING_FORMAT=MLN","FA_ADJUSTED=GAAP","Sort=A","Dates=H","DateFormat=P","Fill=—","Direction=H","UseDPDF=Y")</f>
        <v>73.153999999999996</v>
      </c>
      <c r="W29" s="16">
        <f>_xll.BDH("AMZN US Equity","EARN_FOR_COMMON","FQ1 2004","FQ1 2004","Currency=USD","Period=FQ","BEST_FPERIOD_OVERRIDE=FQ","FILING_STATUS=OR","SCALING_FORMAT=MLN","FA_ADJUSTED=GAAP","Sort=A","Dates=H","DateFormat=P","Fill=—","Direction=H","UseDPDF=Y")</f>
        <v>111.136</v>
      </c>
      <c r="X29" s="16">
        <f>_xll.BDH("AMZN US Equity","EARN_FOR_COMMON","FQ2 2004","FQ2 2004","Currency=USD","Period=FQ","BEST_FPERIOD_OVERRIDE=FQ","FILING_STATUS=OR","SCALING_FORMAT=MLN","FA_ADJUSTED=GAAP","Sort=A","Dates=H","DateFormat=P","Fill=—","Direction=H","UseDPDF=Y")</f>
        <v>76.48</v>
      </c>
      <c r="Y29" s="16">
        <f>_xll.BDH("AMZN US Equity","EARN_FOR_COMMON","FQ3 2004","FQ3 2004","Currency=USD","Period=FQ","BEST_FPERIOD_OVERRIDE=FQ","FILING_STATUS=OR","SCALING_FORMAT=MLN","FA_ADJUSTED=GAAP","Sort=A","Dates=H","DateFormat=P","Fill=—","Direction=H","UseDPDF=Y")</f>
        <v>54.146999999999998</v>
      </c>
      <c r="Z29" s="16">
        <f>_xll.BDH("AMZN US Equity","EARN_FOR_COMMON","FQ4 2004","FQ4 2004","Currency=USD","Period=FQ","BEST_FPERIOD_OVERRIDE=FQ","FILING_STATUS=OR","SCALING_FORMAT=MLN","FA_ADJUSTED=GAAP","Sort=A","Dates=H","DateFormat=P","Fill=—","Direction=H","UseDPDF=Y")</f>
        <v>346.68799999999999</v>
      </c>
      <c r="AA29" s="16">
        <f>_xll.BDH("AMZN US Equity","EARN_FOR_COMMON","FQ1 2005","FQ1 2005","Currency=USD","Period=FQ","BEST_FPERIOD_OVERRIDE=FQ","FILING_STATUS=OR","SCALING_FORMAT=MLN","FA_ADJUSTED=GAAP","Sort=A","Dates=H","DateFormat=P","Fill=—","Direction=H","UseDPDF=Y")</f>
        <v>78</v>
      </c>
      <c r="AB29" s="16">
        <f>_xll.BDH("AMZN US Equity","EARN_FOR_COMMON","FQ2 2005","FQ2 2005","Currency=USD","Period=FQ","BEST_FPERIOD_OVERRIDE=FQ","FILING_STATUS=OR","SCALING_FORMAT=MLN","FA_ADJUSTED=GAAP","Sort=A","Dates=H","DateFormat=P","Fill=—","Direction=H","UseDPDF=Y")</f>
        <v>52</v>
      </c>
      <c r="AC29" s="16">
        <f>_xll.BDH("AMZN US Equity","EARN_FOR_COMMON","FQ3 2005","FQ3 2005","Currency=USD","Period=FQ","BEST_FPERIOD_OVERRIDE=FQ","FILING_STATUS=OR","SCALING_FORMAT=MLN","FA_ADJUSTED=GAAP","Sort=A","Dates=H","DateFormat=P","Fill=—","Direction=H","UseDPDF=Y")</f>
        <v>30</v>
      </c>
      <c r="AD29" s="16">
        <f>_xll.BDH("AMZN US Equity","EARN_FOR_COMMON","FQ4 2005","FQ4 2005","Currency=USD","Period=FQ","BEST_FPERIOD_OVERRIDE=FQ","FILING_STATUS=OR","SCALING_FORMAT=MLN","FA_ADJUSTED=GAAP","Sort=A","Dates=H","DateFormat=P","Fill=—","Direction=H","UseDPDF=Y")</f>
        <v>199</v>
      </c>
      <c r="AE29" s="16">
        <f>_xll.BDH("AMZN US Equity","EARN_FOR_COMMON","FQ1 2006","FQ1 2006","Currency=USD","Period=FQ","BEST_FPERIOD_OVERRIDE=FQ","FILING_STATUS=OR","SCALING_FORMAT=MLN","FA_ADJUSTED=GAAP","Sort=A","Dates=H","DateFormat=P","Fill=—","Direction=H","UseDPDF=Y")</f>
        <v>51</v>
      </c>
      <c r="AF29" s="16">
        <f>_xll.BDH("AMZN US Equity","EARN_FOR_COMMON","FQ2 2006","FQ2 2006","Currency=USD","Period=FQ","BEST_FPERIOD_OVERRIDE=FQ","FILING_STATUS=OR","SCALING_FORMAT=MLN","FA_ADJUSTED=GAAP","Sort=A","Dates=H","DateFormat=P","Fill=—","Direction=H","UseDPDF=Y")</f>
        <v>22</v>
      </c>
      <c r="AG29" s="16">
        <f>_xll.BDH("AMZN US Equity","EARN_FOR_COMMON","FQ3 2006","FQ3 2006","Currency=USD","Period=FQ","BEST_FPERIOD_OVERRIDE=FQ","FILING_STATUS=OR","SCALING_FORMAT=MLN","FA_ADJUSTED=GAAP","Sort=A","Dates=H","DateFormat=P","Fill=—","Direction=H","UseDPDF=Y")</f>
        <v>19</v>
      </c>
      <c r="AH29" s="16">
        <f>_xll.BDH("AMZN US Equity","EARN_FOR_COMMON","FQ4 2006","FQ4 2006","Currency=USD","Period=FQ","BEST_FPERIOD_OVERRIDE=FQ","FILING_STATUS=OR","SCALING_FORMAT=MLN","FA_ADJUSTED=GAAP","Sort=A","Dates=H","DateFormat=P","Fill=—","Direction=H","UseDPDF=Y")</f>
        <v>98</v>
      </c>
      <c r="AI29" s="16">
        <f>_xll.BDH("AMZN US Equity","EARN_FOR_COMMON","FQ1 2007","FQ1 2007","Currency=USD","Period=FQ","BEST_FPERIOD_OVERRIDE=FQ","FILING_STATUS=OR","SCALING_FORMAT=MLN","FA_ADJUSTED=GAAP","Sort=A","Dates=H","DateFormat=P","Fill=—","Direction=H","UseDPDF=Y")</f>
        <v>111</v>
      </c>
      <c r="AJ29" s="16">
        <f>_xll.BDH("AMZN US Equity","EARN_FOR_COMMON","FQ2 2007","FQ2 2007","Currency=USD","Period=FQ","BEST_FPERIOD_OVERRIDE=FQ","FILING_STATUS=OR","SCALING_FORMAT=MLN","FA_ADJUSTED=GAAP","Sort=A","Dates=H","DateFormat=P","Fill=—","Direction=H","UseDPDF=Y")</f>
        <v>78</v>
      </c>
      <c r="AK29" s="16">
        <f>_xll.BDH("AMZN US Equity","EARN_FOR_COMMON","FQ3 2007","FQ3 2007","Currency=USD","Period=FQ","BEST_FPERIOD_OVERRIDE=FQ","FILING_STATUS=OR","SCALING_FORMAT=MLN","FA_ADJUSTED=GAAP","Sort=A","Dates=H","DateFormat=P","Fill=—","Direction=H","UseDPDF=Y")</f>
        <v>80</v>
      </c>
      <c r="AL29" s="16">
        <f>_xll.BDH("AMZN US Equity","EARN_FOR_COMMON","FQ4 2007","FQ4 2007","Currency=USD","Period=FQ","BEST_FPERIOD_OVERRIDE=FQ","FILING_STATUS=OR","SCALING_FORMAT=MLN","FA_ADJUSTED=GAAP","Sort=A","Dates=H","DateFormat=P","Fill=—","Direction=H","UseDPDF=Y")</f>
        <v>207</v>
      </c>
      <c r="AM29" s="16">
        <f>_xll.BDH("AMZN US Equity","EARN_FOR_COMMON","FQ1 2008","FQ1 2008","Currency=USD","Period=FQ","BEST_FPERIOD_OVERRIDE=FQ","FILING_STATUS=OR","SCALING_FORMAT=MLN","FA_ADJUSTED=GAAP","Sort=A","Dates=H","DateFormat=P","Fill=—","Direction=H","UseDPDF=Y")</f>
        <v>143</v>
      </c>
      <c r="AN29" s="16">
        <f>_xll.BDH("AMZN US Equity","EARN_FOR_COMMON","FQ2 2008","FQ2 2008","Currency=USD","Period=FQ","BEST_FPERIOD_OVERRIDE=FQ","FILING_STATUS=OR","SCALING_FORMAT=MLN","FA_ADJUSTED=GAAP","Sort=A","Dates=H","DateFormat=P","Fill=—","Direction=H","UseDPDF=Y")</f>
        <v>158</v>
      </c>
      <c r="AO29" s="16">
        <f>_xll.BDH("AMZN US Equity","EARN_FOR_COMMON","FQ3 2008","FQ3 2008","Currency=USD","Period=FQ","BEST_FPERIOD_OVERRIDE=FQ","FILING_STATUS=OR","SCALING_FORMAT=MLN","FA_ADJUSTED=GAAP","Sort=A","Dates=H","DateFormat=P","Fill=—","Direction=H","UseDPDF=Y")</f>
        <v>118</v>
      </c>
      <c r="AP29" s="16">
        <f>_xll.BDH("AMZN US Equity","EARN_FOR_COMMON","FQ4 2008","FQ4 2008","Currency=USD","Period=FQ","BEST_FPERIOD_OVERRIDE=FQ","FILING_STATUS=OR","SCALING_FORMAT=MLN","FA_ADJUSTED=GAAP","Sort=A","Dates=H","DateFormat=P","Fill=—","Direction=H","UseDPDF=Y")</f>
        <v>225</v>
      </c>
    </row>
    <row r="30" spans="1:42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x14ac:dyDescent="0.25">
      <c r="A31" s="6" t="s">
        <v>133</v>
      </c>
      <c r="B31" s="6" t="s">
        <v>132</v>
      </c>
      <c r="C31" s="16">
        <f>_xll.BDH("AMZN US Equity","EARN_FOR_COMMON","FQ4 1998","FQ4 1998","Currency=USD","Period=FQ","BEST_FPERIOD_OVERRIDE=FQ","FILING_STATUS=OR","SCALING_FORMAT=MLN","FA_ADJUSTED=Adjusted","Sort=A","Dates=H","DateFormat=P","Fill=—","Direction=H","UseDPDF=Y")</f>
        <v>-46.427</v>
      </c>
      <c r="D31" s="16">
        <f>_xll.BDH("AMZN US Equity","EARN_FOR_COMMON","FQ1 1999","FQ1 1999","Currency=USD","Period=FQ","BEST_FPERIOD_OVERRIDE=FQ","FILING_STATUS=OR","SCALING_FORMAT=MLN","FA_ADJUSTED=Adjusted","Sort=A","Dates=H","DateFormat=P","Fill=—","Direction=H","UseDPDF=Y")</f>
        <v>-61.667000000000002</v>
      </c>
      <c r="E31" s="16">
        <f>_xll.BDH("AMZN US Equity","EARN_FOR_COMMON","FQ2 1999","FQ2 1999","Currency=USD","Period=FQ","BEST_FPERIOD_OVERRIDE=FQ","FILING_STATUS=OR","SCALING_FORMAT=MLN","FA_ADJUSTED=Adjusted","Sort=A","Dates=H","DateFormat=P","Fill=—","Direction=H","UseDPDF=Y")</f>
        <v>-138.00800000000001</v>
      </c>
      <c r="F31" s="16">
        <f>_xll.BDH("AMZN US Equity","EARN_FOR_COMMON","FQ3 1999","FQ3 1999","Currency=USD","Period=FQ","BEST_FPERIOD_OVERRIDE=FQ","FILING_STATUS=OR","SCALING_FORMAT=MLN","FA_ADJUSTED=Adjusted","Sort=A","Dates=H","DateFormat=P","Fill=—","Direction=H","UseDPDF=Y")</f>
        <v>-197.08</v>
      </c>
      <c r="G31" s="16">
        <f>_xll.BDH("AMZN US Equity","EARN_FOR_COMMON","FQ4 1999","FQ4 1999","Currency=USD","Period=FQ","BEST_FPERIOD_OVERRIDE=FQ","FILING_STATUS=OR","SCALING_FORMAT=MLN","FA_ADJUSTED=Adjusted","Sort=A","Dates=H","DateFormat=P","Fill=—","Direction=H","UseDPDF=Y")</f>
        <v>-323.21300000000002</v>
      </c>
      <c r="H31" s="16">
        <f>_xll.BDH("AMZN US Equity","EARN_FOR_COMMON","FQ1 2000","FQ1 2000","Currency=USD","Period=FQ","BEST_FPERIOD_OVERRIDE=FQ","FILING_STATUS=OR","SCALING_FORMAT=MLN","FA_ADJUSTED=Adjusted","Sort=A","Dates=H","DateFormat=P","Fill=—","Direction=H","UseDPDF=Y")</f>
        <v>-308.42500000000001</v>
      </c>
      <c r="I31" s="16">
        <f>_xll.BDH("AMZN US Equity","EARN_FOR_COMMON","FQ3 2000","FQ3 2000","Currency=USD","Period=FQ","BEST_FPERIOD_OVERRIDE=FQ","FILING_STATUS=OR","SCALING_FORMAT=MLN","FA_ADJUSTED=Adjusted","Sort=A","Dates=H","DateFormat=P","Fill=—","Direction=H","UseDPDF=Y")</f>
        <v>-240.524</v>
      </c>
      <c r="J31" s="16">
        <f>_xll.BDH("AMZN US Equity","EARN_FOR_COMMON","FQ4 2000","FQ4 2000","Currency=USD","Period=FQ","BEST_FPERIOD_OVERRIDE=FQ","FILING_STATUS=OR","SCALING_FORMAT=MLN","FA_ADJUSTED=Adjusted","Sort=A","Dates=H","DateFormat=P","Fill=—","Direction=H","UseDPDF=Y")</f>
        <v>-545.14</v>
      </c>
      <c r="K31" s="16">
        <f>_xll.BDH("AMZN US Equity","EARN_FOR_COMMON","FQ1 2001","FQ1 2001","Currency=USD","Period=FQ","BEST_FPERIOD_OVERRIDE=FQ","FILING_STATUS=OR","SCALING_FORMAT=MLN","FA_ADJUSTED=Adjusted","Sort=A","Dates=H","DateFormat=P","Fill=—","Direction=H","UseDPDF=Y")</f>
        <v>-234.131</v>
      </c>
      <c r="L31" s="16">
        <f>_xll.BDH("AMZN US Equity","EARN_FOR_COMMON","FQ2 2001","FQ2 2001","Currency=USD","Period=FQ","BEST_FPERIOD_OVERRIDE=FQ","FILING_STATUS=OR","SCALING_FORMAT=MLN","FA_ADJUSTED=Adjusted","Sort=A","Dates=H","DateFormat=P","Fill=—","Direction=H","UseDPDF=Y")</f>
        <v>-168.35900000000001</v>
      </c>
      <c r="M31" s="16">
        <f>_xll.BDH("AMZN US Equity","EARN_FOR_COMMON","FQ3 2001","FQ3 2001","Currency=USD","Period=FQ","BEST_FPERIOD_OVERRIDE=FQ","FILING_STATUS=OR","SCALING_FORMAT=MLN","FA_ADJUSTED=Adjusted","Sort=A","Dates=H","DateFormat=P","Fill=—","Direction=H","UseDPDF=Y")</f>
        <v>-169.874</v>
      </c>
      <c r="N31" s="16">
        <f>_xll.BDH("AMZN US Equity","EARN_FOR_COMMON","FQ4 2001","FQ4 2001","Currency=USD","Period=FQ","BEST_FPERIOD_OVERRIDE=FQ","FILING_STATUS=OR","SCALING_FORMAT=MLN","FA_ADJUSTED=Adjusted","Sort=A","Dates=H","DateFormat=P","Fill=—","Direction=H","UseDPDF=Y")</f>
        <v>5.0869999999999997</v>
      </c>
      <c r="O31" s="16">
        <f>_xll.BDH("AMZN US Equity","EARN_FOR_COMMON","FQ1 2002","FQ1 2002","Currency=USD","Period=FQ","BEST_FPERIOD_OVERRIDE=FQ","FILING_STATUS=OR","SCALING_FORMAT=MLN","FA_ADJUSTED=Adjusted","Sort=A","Dates=H","DateFormat=P","Fill=—","Direction=H","UseDPDF=Y")</f>
        <v>-23.15</v>
      </c>
      <c r="P31" s="16">
        <f>_xll.BDH("AMZN US Equity","EARN_FOR_COMMON","FQ2 2002","FQ2 2002","Currency=USD","Period=FQ","BEST_FPERIOD_OVERRIDE=FQ","FILING_STATUS=OR","SCALING_FORMAT=MLN","FA_ADJUSTED=Adjusted","Sort=A","Dates=H","DateFormat=P","Fill=—","Direction=H","UseDPDF=Y")</f>
        <v>-93.552999999999997</v>
      </c>
      <c r="Q31" s="16">
        <f>_xll.BDH("AMZN US Equity","EARN_FOR_COMMON","FQ3 2002","FQ3 2002","Currency=USD","Period=FQ","BEST_FPERIOD_OVERRIDE=FQ","FILING_STATUS=OR","SCALING_FORMAT=MLN","FA_ADJUSTED=Adjusted","Sort=A","Dates=H","DateFormat=P","Fill=—","Direction=H","UseDPDF=Y")</f>
        <v>-35.08</v>
      </c>
      <c r="R31" s="16">
        <f>_xll.BDH("AMZN US Equity","EARN_FOR_COMMON","FQ4 2002","FQ4 2002","Currency=USD","Period=FQ","BEST_FPERIOD_OVERRIDE=FQ","FILING_STATUS=OR","SCALING_FORMAT=MLN","FA_ADJUSTED=Adjusted","Sort=A","Dates=H","DateFormat=P","Fill=—","Direction=H","UseDPDF=Y")</f>
        <v>2.6509999999999998</v>
      </c>
      <c r="S31" s="16">
        <f>_xll.BDH("AMZN US Equity","EARN_FOR_COMMON","FQ1 2003","FQ1 2003","Currency=USD","Period=FQ","BEST_FPERIOD_OVERRIDE=FQ","FILING_STATUS=OR","SCALING_FORMAT=MLN","FA_ADJUSTED=Adjusted","Sort=A","Dates=H","DateFormat=P","Fill=—","Direction=H","UseDPDF=Y")</f>
        <v>-10.121</v>
      </c>
      <c r="T31" s="16">
        <f>_xll.BDH("AMZN US Equity","EARN_FOR_COMMON","FQ2 2003","FQ2 2003","Currency=USD","Period=FQ","BEST_FPERIOD_OVERRIDE=FQ","FILING_STATUS=OR","SCALING_FORMAT=MLN","FA_ADJUSTED=Adjusted","Sort=A","Dates=H","DateFormat=P","Fill=—","Direction=H","UseDPDF=Y")</f>
        <v>-43.314</v>
      </c>
      <c r="U31" s="16">
        <f>_xll.BDH("AMZN US Equity","EARN_FOR_COMMON","FQ3 2003","FQ3 2003","Currency=USD","Period=FQ","BEST_FPERIOD_OVERRIDE=FQ","FILING_STATUS=OR","SCALING_FORMAT=MLN","FA_ADJUSTED=Adjusted","Sort=A","Dates=H","DateFormat=P","Fill=—","Direction=H","UseDPDF=Y")</f>
        <v>15.563000000000001</v>
      </c>
      <c r="V31" s="16">
        <f>_xll.BDH("AMZN US Equity","EARN_FOR_COMMON","FQ4 2003","FQ4 2003","Currency=USD","Period=FQ","BEST_FPERIOD_OVERRIDE=FQ","FILING_STATUS=OR","SCALING_FORMAT=MLN","FA_ADJUSTED=Adjusted","Sort=A","Dates=H","DateFormat=P","Fill=—","Direction=H","UseDPDF=Y")</f>
        <v>73.153999999999996</v>
      </c>
      <c r="W31" s="16">
        <f>_xll.BDH("AMZN US Equity","EARN_FOR_COMMON","FQ1 2004","FQ1 2004","Currency=USD","Period=FQ","BEST_FPERIOD_OVERRIDE=FQ","FILING_STATUS=OR","SCALING_FORMAT=MLN","FA_ADJUSTED=Adjusted","Sort=A","Dates=H","DateFormat=P","Fill=—","Direction=H","UseDPDF=Y")</f>
        <v>111.136</v>
      </c>
      <c r="X31" s="16">
        <f>_xll.BDH("AMZN US Equity","EARN_FOR_COMMON","FQ2 2004","FQ2 2004","Currency=USD","Period=FQ","BEST_FPERIOD_OVERRIDE=FQ","FILING_STATUS=OR","SCALING_FORMAT=MLN","FA_ADJUSTED=Adjusted","Sort=A","Dates=H","DateFormat=P","Fill=—","Direction=H","UseDPDF=Y")</f>
        <v>76.48</v>
      </c>
      <c r="Y31" s="16">
        <f>_xll.BDH("AMZN US Equity","EARN_FOR_COMMON","FQ3 2004","FQ3 2004","Currency=USD","Period=FQ","BEST_FPERIOD_OVERRIDE=FQ","FILING_STATUS=OR","SCALING_FORMAT=MLN","FA_ADJUSTED=Adjusted","Sort=A","Dates=H","DateFormat=P","Fill=—","Direction=H","UseDPDF=Y")</f>
        <v>54.146999999999998</v>
      </c>
      <c r="Z31" s="16">
        <f>_xll.BDH("AMZN US Equity","EARN_FOR_COMMON","FQ4 2004","FQ4 2004","Currency=USD","Period=FQ","BEST_FPERIOD_OVERRIDE=FQ","FILING_STATUS=OR","SCALING_FORMAT=MLN","FA_ADJUSTED=Adjusted","Sort=A","Dates=H","DateFormat=P","Fill=—","Direction=H","UseDPDF=Y")</f>
        <v>346.68799999999999</v>
      </c>
      <c r="AA31" s="16">
        <f>_xll.BDH("AMZN US Equity","EARN_FOR_COMMON","FQ1 2005","FQ1 2005","Currency=USD","Period=FQ","BEST_FPERIOD_OVERRIDE=FQ","FILING_STATUS=OR","SCALING_FORMAT=MLN","FA_ADJUSTED=Adjusted","Sort=A","Dates=H","DateFormat=P","Fill=—","Direction=H","UseDPDF=Y")</f>
        <v>78</v>
      </c>
      <c r="AB31" s="16">
        <f>_xll.BDH("AMZN US Equity","EARN_FOR_COMMON","FQ2 2005","FQ2 2005","Currency=USD","Period=FQ","BEST_FPERIOD_OVERRIDE=FQ","FILING_STATUS=OR","SCALING_FORMAT=MLN","FA_ADJUSTED=Adjusted","Sort=A","Dates=H","DateFormat=P","Fill=—","Direction=H","UseDPDF=Y")</f>
        <v>52</v>
      </c>
      <c r="AC31" s="16">
        <f>_xll.BDH("AMZN US Equity","EARN_FOR_COMMON","FQ3 2005","FQ3 2005","Currency=USD","Period=FQ","BEST_FPERIOD_OVERRIDE=FQ","FILING_STATUS=OR","SCALING_FORMAT=MLN","FA_ADJUSTED=Adjusted","Sort=A","Dates=H","DateFormat=P","Fill=—","Direction=H","UseDPDF=Y")</f>
        <v>30</v>
      </c>
      <c r="AD31" s="16">
        <f>_xll.BDH("AMZN US Equity","EARN_FOR_COMMON","FQ4 2005","FQ4 2005","Currency=USD","Period=FQ","BEST_FPERIOD_OVERRIDE=FQ","FILING_STATUS=OR","SCALING_FORMAT=MLN","FA_ADJUSTED=Adjusted","Sort=A","Dates=H","DateFormat=P","Fill=—","Direction=H","UseDPDF=Y")</f>
        <v>199</v>
      </c>
      <c r="AE31" s="16">
        <f>_xll.BDH("AMZN US Equity","EARN_FOR_COMMON","FQ1 2006","FQ1 2006","Currency=USD","Period=FQ","BEST_FPERIOD_OVERRIDE=FQ","FILING_STATUS=OR","SCALING_FORMAT=MLN","FA_ADJUSTED=Adjusted","Sort=A","Dates=H","DateFormat=P","Fill=—","Direction=H","UseDPDF=Y")</f>
        <v>51</v>
      </c>
      <c r="AF31" s="16">
        <f>_xll.BDH("AMZN US Equity","EARN_FOR_COMMON","FQ2 2006","FQ2 2006","Currency=USD","Period=FQ","BEST_FPERIOD_OVERRIDE=FQ","FILING_STATUS=OR","SCALING_FORMAT=MLN","FA_ADJUSTED=Adjusted","Sort=A","Dates=H","DateFormat=P","Fill=—","Direction=H","UseDPDF=Y")</f>
        <v>22</v>
      </c>
      <c r="AG31" s="16">
        <f>_xll.BDH("AMZN US Equity","EARN_FOR_COMMON","FQ3 2006","FQ3 2006","Currency=USD","Period=FQ","BEST_FPERIOD_OVERRIDE=FQ","FILING_STATUS=OR","SCALING_FORMAT=MLN","FA_ADJUSTED=Adjusted","Sort=A","Dates=H","DateFormat=P","Fill=—","Direction=H","UseDPDF=Y")</f>
        <v>19</v>
      </c>
      <c r="AH31" s="16">
        <f>_xll.BDH("AMZN US Equity","EARN_FOR_COMMON","FQ4 2006","FQ4 2006","Currency=USD","Period=FQ","BEST_FPERIOD_OVERRIDE=FQ","FILING_STATUS=OR","SCALING_FORMAT=MLN","FA_ADJUSTED=Adjusted","Sort=A","Dates=H","DateFormat=P","Fill=—","Direction=H","UseDPDF=Y")</f>
        <v>98</v>
      </c>
      <c r="AI31" s="16">
        <f>_xll.BDH("AMZN US Equity","EARN_FOR_COMMON","FQ1 2007","FQ1 2007","Currency=USD","Period=FQ","BEST_FPERIOD_OVERRIDE=FQ","FILING_STATUS=OR","SCALING_FORMAT=MLN","FA_ADJUSTED=Adjusted","Sort=A","Dates=H","DateFormat=P","Fill=—","Direction=H","UseDPDF=Y")</f>
        <v>111</v>
      </c>
      <c r="AJ31" s="16">
        <f>_xll.BDH("AMZN US Equity","EARN_FOR_COMMON","FQ2 2007","FQ2 2007","Currency=USD","Period=FQ","BEST_FPERIOD_OVERRIDE=FQ","FILING_STATUS=OR","SCALING_FORMAT=MLN","FA_ADJUSTED=Adjusted","Sort=A","Dates=H","DateFormat=P","Fill=—","Direction=H","UseDPDF=Y")</f>
        <v>78</v>
      </c>
      <c r="AK31" s="16">
        <f>_xll.BDH("AMZN US Equity","EARN_FOR_COMMON","FQ3 2007","FQ3 2007","Currency=USD","Period=FQ","BEST_FPERIOD_OVERRIDE=FQ","FILING_STATUS=OR","SCALING_FORMAT=MLN","FA_ADJUSTED=Adjusted","Sort=A","Dates=H","DateFormat=P","Fill=—","Direction=H","UseDPDF=Y")</f>
        <v>80</v>
      </c>
      <c r="AL31" s="16">
        <f>_xll.BDH("AMZN US Equity","EARN_FOR_COMMON","FQ4 2007","FQ4 2007","Currency=USD","Period=FQ","BEST_FPERIOD_OVERRIDE=FQ","FILING_STATUS=OR","SCALING_FORMAT=MLN","FA_ADJUSTED=Adjusted","Sort=A","Dates=H","DateFormat=P","Fill=—","Direction=H","UseDPDF=Y")</f>
        <v>207</v>
      </c>
      <c r="AM31" s="16">
        <f>_xll.BDH("AMZN US Equity","EARN_FOR_COMMON","FQ1 2008","FQ1 2008","Currency=USD","Period=FQ","BEST_FPERIOD_OVERRIDE=FQ","FILING_STATUS=OR","SCALING_FORMAT=MLN","FA_ADJUSTED=Adjusted","Sort=A","Dates=H","DateFormat=P","Fill=—","Direction=H","UseDPDF=Y")</f>
        <v>143</v>
      </c>
      <c r="AN31" s="16">
        <f>_xll.BDH("AMZN US Equity","EARN_FOR_COMMON","FQ2 2008","FQ2 2008","Currency=USD","Period=FQ","BEST_FPERIOD_OVERRIDE=FQ","FILING_STATUS=OR","SCALING_FORMAT=MLN","FA_ADJUSTED=Adjusted","Sort=A","Dates=H","DateFormat=P","Fill=—","Direction=H","UseDPDF=Y")</f>
        <v>158</v>
      </c>
      <c r="AO31" s="16">
        <f>_xll.BDH("AMZN US Equity","EARN_FOR_COMMON","FQ3 2008","FQ3 2008","Currency=USD","Period=FQ","BEST_FPERIOD_OVERRIDE=FQ","FILING_STATUS=OR","SCALING_FORMAT=MLN","FA_ADJUSTED=Adjusted","Sort=A","Dates=H","DateFormat=P","Fill=—","Direction=H","UseDPDF=Y")</f>
        <v>118</v>
      </c>
      <c r="AP31" s="16">
        <f>_xll.BDH("AMZN US Equity","EARN_FOR_COMMON","FQ4 2008","FQ4 2008","Currency=USD","Period=FQ","BEST_FPERIOD_OVERRIDE=FQ","FILING_STATUS=OR","SCALING_FORMAT=MLN","FA_ADJUSTED=Adjusted","Sort=A","Dates=H","DateFormat=P","Fill=—","Direction=H","UseDPDF=Y")</f>
        <v>225</v>
      </c>
    </row>
    <row r="32" spans="1:42" x14ac:dyDescent="0.25">
      <c r="A32" s="10" t="s">
        <v>134</v>
      </c>
      <c r="B32" s="10" t="s">
        <v>120</v>
      </c>
      <c r="C32" s="13">
        <f>_xll.BDH("AMZN US Equity","XO_GL_NET_OF_TAX","FQ4 1998","FQ4 1998","Currency=USD","Period=FQ","BEST_FPERIOD_OVERRIDE=FQ","FILING_STATUS=OR","SCALING_FORMAT=MLN","Sort=A","Dates=H","DateFormat=P","Fill=—","Direction=H","UseDPDF=Y")</f>
        <v>0</v>
      </c>
      <c r="D32" s="13">
        <f>_xll.BDH("AMZN US Equity","XO_GL_NET_OF_TAX","FQ1 1999","FQ1 1999","Currency=USD","Period=FQ","BEST_FPERIOD_OVERRIDE=FQ","FILING_STATUS=OR","SCALING_FORMAT=MLN","Sort=A","Dates=H","DateFormat=P","Fill=—","Direction=H","UseDPDF=Y")</f>
        <v>0</v>
      </c>
      <c r="E32" s="13">
        <f>_xll.BDH("AMZN US Equity","XO_GL_NET_OF_TAX","FQ2 1999","FQ2 1999","Currency=USD","Period=FQ","BEST_FPERIOD_OVERRIDE=FQ","FILING_STATUS=OR","SCALING_FORMAT=MLN","Sort=A","Dates=H","DateFormat=P","Fill=—","Direction=H","UseDPDF=Y")</f>
        <v>0</v>
      </c>
      <c r="F32" s="13">
        <f>_xll.BDH("AMZN US Equity","XO_GL_NET_OF_TAX","FQ3 1999","FQ3 1999","Currency=USD","Period=FQ","BEST_FPERIOD_OVERRIDE=FQ","FILING_STATUS=OR","SCALING_FORMAT=MLN","Sort=A","Dates=H","DateFormat=P","Fill=—","Direction=H","UseDPDF=Y")</f>
        <v>0</v>
      </c>
      <c r="G32" s="13">
        <f>_xll.BDH("AMZN US Equity","XO_GL_NET_OF_TAX","FQ4 1999","FQ4 1999","Currency=USD","Period=FQ","BEST_FPERIOD_OVERRIDE=FQ","FILING_STATUS=OR","SCALING_FORMAT=MLN","Sort=A","Dates=H","DateFormat=P","Fill=—","Direction=H","UseDPDF=Y")</f>
        <v>0</v>
      </c>
      <c r="H32" s="13">
        <f>_xll.BDH("AMZN US Equity","XO_GL_NET_OF_TAX","FQ1 2000","FQ1 2000","Currency=USD","Period=FQ","BEST_FPERIOD_OVERRIDE=FQ","FILING_STATUS=OR","SCALING_FORMAT=MLN","Sort=A","Dates=H","DateFormat=P","Fill=—","Direction=H","UseDPDF=Y")</f>
        <v>0</v>
      </c>
      <c r="I32" s="13">
        <f>_xll.BDH("AMZN US Equity","XO_GL_NET_OF_TAX","FQ3 2000","FQ3 2000","Currency=USD","Period=FQ","BEST_FPERIOD_OVERRIDE=FQ","FILING_STATUS=OR","SCALING_FORMAT=MLN","Sort=A","Dates=H","DateFormat=P","Fill=—","Direction=H","UseDPDF=Y")</f>
        <v>0</v>
      </c>
      <c r="J32" s="13">
        <f>_xll.BDH("AMZN US Equity","XO_GL_NET_OF_TAX","FQ4 2000","FQ4 2000","Currency=USD","Period=FQ","BEST_FPERIOD_OVERRIDE=FQ","FILING_STATUS=OR","SCALING_FORMAT=MLN","Sort=A","Dates=H","DateFormat=P","Fill=—","Direction=H","UseDPDF=Y")</f>
        <v>0</v>
      </c>
      <c r="K32" s="13">
        <f>_xll.BDH("AMZN US Equity","XO_GL_NET_OF_TAX","FQ1 2001","FQ1 2001","Currency=USD","Period=FQ","BEST_FPERIOD_OVERRIDE=FQ","FILING_STATUS=OR","SCALING_FORMAT=MLN","Sort=A","Dates=H","DateFormat=P","Fill=—","Direction=H","UseDPDF=Y")</f>
        <v>10.523</v>
      </c>
      <c r="L32" s="13">
        <f>_xll.BDH("AMZN US Equity","XO_GL_NET_OF_TAX","FQ2 2001","FQ2 2001","Currency=USD","Period=FQ","BEST_FPERIOD_OVERRIDE=FQ","FILING_STATUS=OR","SCALING_FORMAT=MLN","Sort=A","Dates=H","DateFormat=P","Fill=—","Direction=H","UseDPDF=Y")</f>
        <v>0</v>
      </c>
      <c r="M32" s="13">
        <f>_xll.BDH("AMZN US Equity","XO_GL_NET_OF_TAX","FQ3 2001","FQ3 2001","Currency=USD","Period=FQ","BEST_FPERIOD_OVERRIDE=FQ","FILING_STATUS=OR","SCALING_FORMAT=MLN","Sort=A","Dates=H","DateFormat=P","Fill=—","Direction=H","UseDPDF=Y")</f>
        <v>0</v>
      </c>
      <c r="N32" s="13">
        <f>_xll.BDH("AMZN US Equity","XO_GL_NET_OF_TAX","FQ4 2001","FQ4 2001","Currency=USD","Period=FQ","BEST_FPERIOD_OVERRIDE=FQ","FILING_STATUS=OR","SCALING_FORMAT=MLN","Sort=A","Dates=H","DateFormat=P","Fill=—","Direction=H","UseDPDF=Y")</f>
        <v>0</v>
      </c>
      <c r="O32" s="13">
        <f>_xll.BDH("AMZN US Equity","XO_GL_NET_OF_TAX","FQ1 2002","FQ1 2002","Currency=USD","Period=FQ","BEST_FPERIOD_OVERRIDE=FQ","FILING_STATUS=OR","SCALING_FORMAT=MLN","Sort=A","Dates=H","DateFormat=P","Fill=—","Direction=H","UseDPDF=Y")</f>
        <v>-0.80100000000000005</v>
      </c>
      <c r="P32" s="13">
        <f>_xll.BDH("AMZN US Equity","XO_GL_NET_OF_TAX","FQ2 2002","FQ2 2002","Currency=USD","Period=FQ","BEST_FPERIOD_OVERRIDE=FQ","FILING_STATUS=OR","SCALING_FORMAT=MLN","Sort=A","Dates=H","DateFormat=P","Fill=—","Direction=H","UseDPDF=Y")</f>
        <v>0</v>
      </c>
      <c r="Q32" s="13">
        <f>_xll.BDH("AMZN US Equity","XO_GL_NET_OF_TAX","FQ3 2002","FQ3 2002","Currency=USD","Period=FQ","BEST_FPERIOD_OVERRIDE=FQ","FILING_STATUS=OR","SCALING_FORMAT=MLN","Sort=A","Dates=H","DateFormat=P","Fill=—","Direction=H","UseDPDF=Y")</f>
        <v>0</v>
      </c>
      <c r="R32" s="13">
        <f>_xll.BDH("AMZN US Equity","XO_GL_NET_OF_TAX","FQ4 2002","FQ4 2002","Currency=USD","Period=FQ","BEST_FPERIOD_OVERRIDE=FQ","FILING_STATUS=OR","SCALING_FORMAT=MLN","Sort=A","Dates=H","DateFormat=P","Fill=—","Direction=H","UseDPDF=Y")</f>
        <v>0</v>
      </c>
      <c r="S32" s="13">
        <f>_xll.BDH("AMZN US Equity","XO_GL_NET_OF_TAX","FQ1 2003","FQ1 2003","Currency=USD","Period=FQ","BEST_FPERIOD_OVERRIDE=FQ","FILING_STATUS=OR","SCALING_FORMAT=MLN","Sort=A","Dates=H","DateFormat=P","Fill=—","Direction=H","UseDPDF=Y")</f>
        <v>0</v>
      </c>
      <c r="T32" s="13">
        <f>_xll.BDH("AMZN US Equity","XO_GL_NET_OF_TAX","FQ2 2003","FQ2 2003","Currency=USD","Period=FQ","BEST_FPERIOD_OVERRIDE=FQ","FILING_STATUS=OR","SCALING_FORMAT=MLN","Sort=A","Dates=H","DateFormat=P","Fill=—","Direction=H","UseDPDF=Y")</f>
        <v>0</v>
      </c>
      <c r="U32" s="13">
        <f>_xll.BDH("AMZN US Equity","XO_GL_NET_OF_TAX","FQ3 2003","FQ3 2003","Currency=USD","Period=FQ","BEST_FPERIOD_OVERRIDE=FQ","FILING_STATUS=OR","SCALING_FORMAT=MLN","Sort=A","Dates=H","DateFormat=P","Fill=—","Direction=H","UseDPDF=Y")</f>
        <v>0</v>
      </c>
      <c r="V32" s="13">
        <f>_xll.BDH("AMZN US Equity","XO_GL_NET_OF_TAX","FQ4 2003","FQ4 2003","Currency=USD","Period=FQ","BEST_FPERIOD_OVERRIDE=FQ","FILING_STATUS=OR","SCALING_FORMAT=MLN","Sort=A","Dates=H","DateFormat=P","Fill=—","Direction=H","UseDPDF=Y")</f>
        <v>0</v>
      </c>
      <c r="W32" s="13">
        <f>_xll.BDH("AMZN US Equity","XO_GL_NET_OF_TAX","FQ1 2004","FQ1 2004","Currency=USD","Period=FQ","BEST_FPERIOD_OVERRIDE=FQ","FILING_STATUS=OR","SCALING_FORMAT=MLN","Sort=A","Dates=H","DateFormat=P","Fill=—","Direction=H","UseDPDF=Y")</f>
        <v>0</v>
      </c>
      <c r="X32" s="13">
        <f>_xll.BDH("AMZN US Equity","XO_GL_NET_OF_TAX","FQ2 2004","FQ2 2004","Currency=USD","Period=FQ","BEST_FPERIOD_OVERRIDE=FQ","FILING_STATUS=OR","SCALING_FORMAT=MLN","Sort=A","Dates=H","DateFormat=P","Fill=—","Direction=H","UseDPDF=Y")</f>
        <v>0</v>
      </c>
      <c r="Y32" s="13">
        <f>_xll.BDH("AMZN US Equity","XO_GL_NET_OF_TAX","FQ3 2004","FQ3 2004","Currency=USD","Period=FQ","BEST_FPERIOD_OVERRIDE=FQ","FILING_STATUS=OR","SCALING_FORMAT=MLN","Sort=A","Dates=H","DateFormat=P","Fill=—","Direction=H","UseDPDF=Y")</f>
        <v>0</v>
      </c>
      <c r="Z32" s="13">
        <f>_xll.BDH("AMZN US Equity","XO_GL_NET_OF_TAX","FQ4 2004","FQ4 2004","Currency=USD","Period=FQ","BEST_FPERIOD_OVERRIDE=FQ","FILING_STATUS=OR","SCALING_FORMAT=MLN","Sort=A","Dates=H","DateFormat=P","Fill=—","Direction=H","UseDPDF=Y")</f>
        <v>0</v>
      </c>
      <c r="AA32" s="13">
        <f>_xll.BDH("AMZN US Equity","XO_GL_NET_OF_TAX","FQ1 2005","FQ1 2005","Currency=USD","Period=FQ","BEST_FPERIOD_OVERRIDE=FQ","FILING_STATUS=OR","SCALING_FORMAT=MLN","Sort=A","Dates=H","DateFormat=P","Fill=—","Direction=H","UseDPDF=Y")</f>
        <v>-26</v>
      </c>
      <c r="AB32" s="13">
        <f>_xll.BDH("AMZN US Equity","XO_GL_NET_OF_TAX","FQ2 2005","FQ2 2005","Currency=USD","Period=FQ","BEST_FPERIOD_OVERRIDE=FQ","FILING_STATUS=OR","SCALING_FORMAT=MLN","Sort=A","Dates=H","DateFormat=P","Fill=—","Direction=H","UseDPDF=Y")</f>
        <v>0</v>
      </c>
      <c r="AC32" s="13">
        <f>_xll.BDH("AMZN US Equity","XO_GL_NET_OF_TAX","FQ3 2005","FQ3 2005","Currency=USD","Period=FQ","BEST_FPERIOD_OVERRIDE=FQ","FILING_STATUS=OR","SCALING_FORMAT=MLN","Sort=A","Dates=H","DateFormat=P","Fill=—","Direction=H","UseDPDF=Y")</f>
        <v>0</v>
      </c>
      <c r="AD32" s="13">
        <f>_xll.BDH("AMZN US Equity","XO_GL_NET_OF_TAX","FQ4 2005","FQ4 2005","Currency=USD","Period=FQ","BEST_FPERIOD_OVERRIDE=FQ","FILING_STATUS=OR","SCALING_FORMAT=MLN","Sort=A","Dates=H","DateFormat=P","Fill=—","Direction=H","UseDPDF=Y")</f>
        <v>0</v>
      </c>
      <c r="AE32" s="13">
        <f>_xll.BDH("AMZN US Equity","XO_GL_NET_OF_TAX","FQ1 2006","FQ1 2006","Currency=USD","Period=FQ","BEST_FPERIOD_OVERRIDE=FQ","FILING_STATUS=OR","SCALING_FORMAT=MLN","Sort=A","Dates=H","DateFormat=P","Fill=—","Direction=H","UseDPDF=Y")</f>
        <v>0</v>
      </c>
      <c r="AF32" s="13">
        <f>_xll.BDH("AMZN US Equity","XO_GL_NET_OF_TAX","FQ2 2006","FQ2 2006","Currency=USD","Period=FQ","BEST_FPERIOD_OVERRIDE=FQ","FILING_STATUS=OR","SCALING_FORMAT=MLN","Sort=A","Dates=H","DateFormat=P","Fill=—","Direction=H","UseDPDF=Y")</f>
        <v>0</v>
      </c>
      <c r="AG32" s="13">
        <f>_xll.BDH("AMZN US Equity","XO_GL_NET_OF_TAX","FQ3 2006","FQ3 2006","Currency=USD","Period=FQ","BEST_FPERIOD_OVERRIDE=FQ","FILING_STATUS=OR","SCALING_FORMAT=MLN","Sort=A","Dates=H","DateFormat=P","Fill=—","Direction=H","UseDPDF=Y")</f>
        <v>0</v>
      </c>
      <c r="AH32" s="13">
        <f>_xll.BDH("AMZN US Equity","XO_GL_NET_OF_TAX","FQ4 2006","FQ4 2006","Currency=USD","Period=FQ","BEST_FPERIOD_OVERRIDE=FQ","FILING_STATUS=OR","SCALING_FORMAT=MLN","Sort=A","Dates=H","DateFormat=P","Fill=—","Direction=H","UseDPDF=Y")</f>
        <v>0</v>
      </c>
      <c r="AI32" s="13">
        <f>_xll.BDH("AMZN US Equity","XO_GL_NET_OF_TAX","FQ1 2007","FQ1 2007","Currency=USD","Period=FQ","BEST_FPERIOD_OVERRIDE=FQ","FILING_STATUS=OR","SCALING_FORMAT=MLN","Sort=A","Dates=H","DateFormat=P","Fill=—","Direction=H","UseDPDF=Y")</f>
        <v>0</v>
      </c>
      <c r="AJ32" s="13">
        <f>_xll.BDH("AMZN US Equity","XO_GL_NET_OF_TAX","FQ2 2007","FQ2 2007","Currency=USD","Period=FQ","BEST_FPERIOD_OVERRIDE=FQ","FILING_STATUS=OR","SCALING_FORMAT=MLN","Sort=A","Dates=H","DateFormat=P","Fill=—","Direction=H","UseDPDF=Y")</f>
        <v>0</v>
      </c>
      <c r="AK32" s="13">
        <f>_xll.BDH("AMZN US Equity","XO_GL_NET_OF_TAX","FQ3 2007","FQ3 2007","Currency=USD","Period=FQ","BEST_FPERIOD_OVERRIDE=FQ","FILING_STATUS=OR","SCALING_FORMAT=MLN","Sort=A","Dates=H","DateFormat=P","Fill=—","Direction=H","UseDPDF=Y")</f>
        <v>0</v>
      </c>
      <c r="AL32" s="13">
        <f>_xll.BDH("AMZN US Equity","XO_GL_NET_OF_TAX","FQ4 2007","FQ4 2007","Currency=USD","Period=FQ","BEST_FPERIOD_OVERRIDE=FQ","FILING_STATUS=OR","SCALING_FORMAT=MLN","Sort=A","Dates=H","DateFormat=P","Fill=—","Direction=H","UseDPDF=Y")</f>
        <v>0</v>
      </c>
      <c r="AM32" s="13">
        <f>_xll.BDH("AMZN US Equity","XO_GL_NET_OF_TAX","FQ1 2008","FQ1 2008","Currency=USD","Period=FQ","BEST_FPERIOD_OVERRIDE=FQ","FILING_STATUS=OR","SCALING_FORMAT=MLN","Sort=A","Dates=H","DateFormat=P","Fill=—","Direction=H","UseDPDF=Y")</f>
        <v>0</v>
      </c>
      <c r="AN32" s="13">
        <f>_xll.BDH("AMZN US Equity","XO_GL_NET_OF_TAX","FQ2 2008","FQ2 2008","Currency=USD","Period=FQ","BEST_FPERIOD_OVERRIDE=FQ","FILING_STATUS=OR","SCALING_FORMAT=MLN","Sort=A","Dates=H","DateFormat=P","Fill=—","Direction=H","UseDPDF=Y")</f>
        <v>0</v>
      </c>
      <c r="AO32" s="13">
        <f>_xll.BDH("AMZN US Equity","XO_GL_NET_OF_TAX","FQ3 2008","FQ3 2008","Currency=USD","Period=FQ","BEST_FPERIOD_OVERRIDE=FQ","FILING_STATUS=OR","SCALING_FORMAT=MLN","Sort=A","Dates=H","DateFormat=P","Fill=—","Direction=H","UseDPDF=Y")</f>
        <v>0</v>
      </c>
      <c r="AP32" s="13">
        <f>_xll.BDH("AMZN US Equity","XO_GL_NET_OF_TAX","FQ4 2008","FQ4 2008","Currency=USD","Period=FQ","BEST_FPERIOD_OVERRIDE=FQ","FILING_STATUS=OR","SCALING_FORMAT=MLN","Sort=A","Dates=H","DateFormat=P","Fill=—","Direction=H","UseDPDF=Y")</f>
        <v>0</v>
      </c>
    </row>
    <row r="33" spans="1:42" x14ac:dyDescent="0.25">
      <c r="A33" s="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spans="1:42" x14ac:dyDescent="0.25">
      <c r="A34" s="10" t="s">
        <v>135</v>
      </c>
      <c r="B34" s="10" t="s">
        <v>136</v>
      </c>
      <c r="C34" s="13">
        <f>_xll.BDH("AMZN US Equity","IS_AVG_NUM_SH_FOR_EPS","FQ4 1998","FQ4 1998","Currency=USD","Period=FQ","BEST_FPERIOD_OVERRIDE=FQ","FILING_STATUS=OR","Sort=A","Dates=H","DateFormat=P","Fill=—","Direction=H","UseDPDF=Y")</f>
        <v>308.77800000000002</v>
      </c>
      <c r="D34" s="13">
        <f>_xll.BDH("AMZN US Equity","IS_AVG_NUM_SH_FOR_EPS","FQ1 1999","FQ1 1999","Currency=USD","Period=FQ","BEST_FPERIOD_OVERRIDE=FQ","FILING_STATUS=OR","Sort=A","Dates=H","DateFormat=P","Fill=—","Direction=H","UseDPDF=Y")</f>
        <v>313.79399999999998</v>
      </c>
      <c r="E34" s="13">
        <f>_xll.BDH("AMZN US Equity","IS_AVG_NUM_SH_FOR_EPS","FQ2 1999","FQ2 1999","Currency=USD","Period=FQ","BEST_FPERIOD_OVERRIDE=FQ","FILING_STATUS=OR","Sort=A","Dates=H","DateFormat=P","Fill=—","Direction=H","UseDPDF=Y")</f>
        <v>322.33999999999997</v>
      </c>
      <c r="F34" s="13">
        <f>_xll.BDH("AMZN US Equity","IS_AVG_NUM_SH_FOR_EPS","FQ3 1999","FQ3 1999","Currency=USD","Period=FQ","BEST_FPERIOD_OVERRIDE=FQ","FILING_STATUS=OR","Sort=A","Dates=H","DateFormat=P","Fill=—","Direction=H","UseDPDF=Y")</f>
        <v>332.488</v>
      </c>
      <c r="G34" s="13">
        <f>_xll.BDH("AMZN US Equity","IS_AVG_NUM_SH_FOR_EPS","FQ4 1999","FQ4 1999","Currency=USD","Period=FQ","BEST_FPERIOD_OVERRIDE=FQ","FILING_STATUS=OR","Sort=A","Dates=H","DateFormat=P","Fill=—","Direction=H","UseDPDF=Y")</f>
        <v>338.38900000000001</v>
      </c>
      <c r="H34" s="13">
        <f>_xll.BDH("AMZN US Equity","IS_AVG_NUM_SH_FOR_EPS","FQ1 2000","FQ1 2000","Currency=USD","Period=FQ","BEST_FPERIOD_OVERRIDE=FQ","FILING_STATUS=OR","Sort=A","Dates=H","DateFormat=P","Fill=—","Direction=H","UseDPDF=Y")</f>
        <v>343.88400000000001</v>
      </c>
      <c r="I34" s="13">
        <f>_xll.BDH("AMZN US Equity","IS_AVG_NUM_SH_FOR_EPS","FQ3 2000","FQ3 2000","Currency=USD","Period=FQ","BEST_FPERIOD_OVERRIDE=FQ","FILING_STATUS=OR","Sort=A","Dates=H","DateFormat=P","Fill=—","Direction=H","UseDPDF=Y")</f>
        <v>353.95400000000001</v>
      </c>
      <c r="J34" s="13">
        <f>_xll.BDH("AMZN US Equity","IS_AVG_NUM_SH_FOR_EPS","FQ4 2000","FQ4 2000","Currency=USD","Period=FQ","BEST_FPERIOD_OVERRIDE=FQ","FILING_STATUS=OR","Sort=A","Dates=H","DateFormat=P","Fill=—","Direction=H","UseDPDF=Y")</f>
        <v>355.68099999999998</v>
      </c>
      <c r="K34" s="13">
        <f>_xll.BDH("AMZN US Equity","IS_AVG_NUM_SH_FOR_EPS","FQ1 2001","FQ1 2001","Currency=USD","Period=FQ","BEST_FPERIOD_OVERRIDE=FQ","FILING_STATUS=OR","Sort=A","Dates=H","DateFormat=P","Fill=—","Direction=H","UseDPDF=Y")</f>
        <v>357.42399999999998</v>
      </c>
      <c r="L34" s="13">
        <f>_xll.BDH("AMZN US Equity","IS_AVG_NUM_SH_FOR_EPS","FQ2 2001","FQ2 2001","Currency=USD","Period=FQ","BEST_FPERIOD_OVERRIDE=FQ","FILING_STATUS=OR","Sort=A","Dates=H","DateFormat=P","Fill=—","Direction=H","UseDPDF=Y")</f>
        <v>359.75200000000001</v>
      </c>
      <c r="M34" s="13">
        <f>_xll.BDH("AMZN US Equity","IS_AVG_NUM_SH_FOR_EPS","FQ3 2001","FQ3 2001","Currency=USD","Period=FQ","BEST_FPERIOD_OVERRIDE=FQ","FILING_STATUS=OR","Sort=A","Dates=H","DateFormat=P","Fill=—","Direction=H","UseDPDF=Y")</f>
        <v>368.05200000000002</v>
      </c>
      <c r="N34" s="13">
        <f>_xll.BDH("AMZN US Equity","IS_AVG_NUM_SH_FOR_EPS","FQ4 2001","FQ4 2001","Currency=USD","Period=FQ","BEST_FPERIOD_OVERRIDE=FQ","FILING_STATUS=OR","Sort=A","Dates=H","DateFormat=P","Fill=—","Direction=H","UseDPDF=Y")</f>
        <v>371.42</v>
      </c>
      <c r="O34" s="13">
        <f>_xll.BDH("AMZN US Equity","IS_AVG_NUM_SH_FOR_EPS","FQ1 2002","FQ1 2002","Currency=USD","Period=FQ","BEST_FPERIOD_OVERRIDE=FQ","FILING_STATUS=OR","Sort=A","Dates=H","DateFormat=P","Fill=—","Direction=H","UseDPDF=Y")</f>
        <v>373.03100000000001</v>
      </c>
      <c r="P34" s="13">
        <f>_xll.BDH("AMZN US Equity","IS_AVG_NUM_SH_FOR_EPS","FQ2 2002","FQ2 2002","Currency=USD","Period=FQ","BEST_FPERIOD_OVERRIDE=FQ","FILING_STATUS=OR","Sort=A","Dates=H","DateFormat=P","Fill=—","Direction=H","UseDPDF=Y")</f>
        <v>376.93700000000001</v>
      </c>
      <c r="Q34" s="13">
        <f>_xll.BDH("AMZN US Equity","IS_AVG_NUM_SH_FOR_EPS","FQ3 2002","FQ3 2002","Currency=USD","Period=FQ","BEST_FPERIOD_OVERRIDE=FQ","FILING_STATUS=OR","Sort=A","Dates=H","DateFormat=P","Fill=—","Direction=H","UseDPDF=Y")</f>
        <v>379.65</v>
      </c>
      <c r="R34" s="13">
        <f>_xll.BDH("AMZN US Equity","IS_AVG_NUM_SH_FOR_EPS","FQ4 2002","FQ4 2002","Currency=USD","Period=FQ","BEST_FPERIOD_OVERRIDE=FQ","FILING_STATUS=OR","Sort=A","Dates=H","DateFormat=P","Fill=—","Direction=H","UseDPDF=Y")</f>
        <v>383.702</v>
      </c>
      <c r="S34" s="13">
        <f>_xll.BDH("AMZN US Equity","IS_AVG_NUM_SH_FOR_EPS","FQ1 2003","FQ1 2003","Currency=USD","Period=FQ","BEST_FPERIOD_OVERRIDE=FQ","FILING_STATUS=OR","Sort=A","Dates=H","DateFormat=P","Fill=—","Direction=H","UseDPDF=Y")</f>
        <v>388.541</v>
      </c>
      <c r="T34" s="13">
        <f>_xll.BDH("AMZN US Equity","IS_AVG_NUM_SH_FOR_EPS","FQ2 2003","FQ2 2003","Currency=USD","Period=FQ","BEST_FPERIOD_OVERRIDE=FQ","FILING_STATUS=OR","Sort=A","Dates=H","DateFormat=P","Fill=—","Direction=H","UseDPDF=Y")</f>
        <v>393.87599999999998</v>
      </c>
      <c r="U34" s="13">
        <f>_xll.BDH("AMZN US Equity","IS_AVG_NUM_SH_FOR_EPS","FQ3 2003","FQ3 2003","Currency=USD","Period=FQ","BEST_FPERIOD_OVERRIDE=FQ","FILING_STATUS=OR","Sort=A","Dates=H","DateFormat=P","Fill=—","Direction=H","UseDPDF=Y")</f>
        <v>397.91199999999998</v>
      </c>
      <c r="V34" s="13">
        <f>_xll.BDH("AMZN US Equity","IS_AVG_NUM_SH_FOR_EPS","FQ4 2003","FQ4 2003","Currency=USD","Period=FQ","BEST_FPERIOD_OVERRIDE=FQ","FILING_STATUS=OR","Sort=A","Dates=H","DateFormat=P","Fill=—","Direction=H","UseDPDF=Y")</f>
        <v>401.42200000000003</v>
      </c>
      <c r="W34" s="13">
        <f>_xll.BDH("AMZN US Equity","IS_AVG_NUM_SH_FOR_EPS","FQ1 2004","FQ1 2004","Currency=USD","Period=FQ","BEST_FPERIOD_OVERRIDE=FQ","FILING_STATUS=OR","Sort=A","Dates=H","DateFormat=P","Fill=—","Direction=H","UseDPDF=Y")</f>
        <v>403.54199999999997</v>
      </c>
      <c r="X34" s="13">
        <f>_xll.BDH("AMZN US Equity","IS_AVG_NUM_SH_FOR_EPS","FQ2 2004","FQ2 2004","Currency=USD","Period=FQ","BEST_FPERIOD_OVERRIDE=FQ","FILING_STATUS=OR","Sort=A","Dates=H","DateFormat=P","Fill=—","Direction=H","UseDPDF=Y")</f>
        <v>405.26799999999997</v>
      </c>
      <c r="Y34" s="13">
        <f>_xll.BDH("AMZN US Equity","IS_AVG_NUM_SH_FOR_EPS","FQ3 2004","FQ3 2004","Currency=USD","Period=FQ","BEST_FPERIOD_OVERRIDE=FQ","FILING_STATUS=OR","Sort=A","Dates=H","DateFormat=P","Fill=—","Direction=H","UseDPDF=Y")</f>
        <v>406.64699999999999</v>
      </c>
      <c r="Z34" s="13">
        <f>_xll.BDH("AMZN US Equity","IS_AVG_NUM_SH_FOR_EPS","FQ4 2004","FQ4 2004","Currency=USD","Period=FQ","BEST_FPERIOD_OVERRIDE=FQ","FILING_STATUS=OR","Sort=A","Dates=H","DateFormat=P","Fill=—","Direction=H","UseDPDF=Y")</f>
        <v>408.22699999999998</v>
      </c>
      <c r="AA34" s="13">
        <f>_xll.BDH("AMZN US Equity","IS_AVG_NUM_SH_FOR_EPS","FQ1 2005","FQ1 2005","Currency=USD","Period=FQ","BEST_FPERIOD_OVERRIDE=FQ","FILING_STATUS=OR","Sort=A","Dates=H","DateFormat=P","Fill=—","Direction=H","UseDPDF=Y")</f>
        <v>410</v>
      </c>
      <c r="AB34" s="13">
        <f>_xll.BDH("AMZN US Equity","IS_AVG_NUM_SH_FOR_EPS","FQ2 2005","FQ2 2005","Currency=USD","Period=FQ","BEST_FPERIOD_OVERRIDE=FQ","FILING_STATUS=OR","Sort=A","Dates=H","DateFormat=P","Fill=—","Direction=H","UseDPDF=Y")</f>
        <v>411</v>
      </c>
      <c r="AC34" s="13">
        <f>_xll.BDH("AMZN US Equity","IS_AVG_NUM_SH_FOR_EPS","FQ3 2005","FQ3 2005","Currency=USD","Period=FQ","BEST_FPERIOD_OVERRIDE=FQ","FILING_STATUS=OR","Sort=A","Dates=H","DateFormat=P","Fill=—","Direction=H","UseDPDF=Y")</f>
        <v>413</v>
      </c>
      <c r="AD34" s="13">
        <f>_xll.BDH("AMZN US Equity","IS_AVG_NUM_SH_FOR_EPS","FQ4 2005","FQ4 2005","Currency=USD","Period=FQ","BEST_FPERIOD_OVERRIDE=FQ","FILING_STATUS=OR","Sort=A","Dates=H","DateFormat=P","Fill=—","Direction=H","UseDPDF=Y")</f>
        <v>415</v>
      </c>
      <c r="AE34" s="13">
        <f>_xll.BDH("AMZN US Equity","IS_AVG_NUM_SH_FOR_EPS","FQ1 2006","FQ1 2006","Currency=USD","Period=FQ","BEST_FPERIOD_OVERRIDE=FQ","FILING_STATUS=OR","Sort=A","Dates=H","DateFormat=P","Fill=—","Direction=H","UseDPDF=Y")</f>
        <v>417</v>
      </c>
      <c r="AF34" s="13">
        <f>_xll.BDH("AMZN US Equity","IS_AVG_NUM_SH_FOR_EPS","FQ2 2006","FQ2 2006","Currency=USD","Period=FQ","BEST_FPERIOD_OVERRIDE=FQ","FILING_STATUS=OR","Sort=A","Dates=H","DateFormat=P","Fill=—","Direction=H","UseDPDF=Y")</f>
        <v>418</v>
      </c>
      <c r="AG34" s="13">
        <f>_xll.BDH("AMZN US Equity","IS_AVG_NUM_SH_FOR_EPS","FQ3 2006","FQ3 2006","Currency=USD","Period=FQ","BEST_FPERIOD_OVERRIDE=FQ","FILING_STATUS=OR","Sort=A","Dates=H","DateFormat=P","Fill=—","Direction=H","UseDPDF=Y")</f>
        <v>417</v>
      </c>
      <c r="AH34" s="13">
        <f>_xll.BDH("AMZN US Equity","IS_AVG_NUM_SH_FOR_EPS","FQ4 2006","FQ4 2006","Currency=USD","Period=FQ","BEST_FPERIOD_OVERRIDE=FQ","FILING_STATUS=OR","Sort=A","Dates=H","DateFormat=P","Fill=—","Direction=H","UseDPDF=Y")</f>
        <v>416</v>
      </c>
      <c r="AI34" s="13">
        <f>_xll.BDH("AMZN US Equity","IS_AVG_NUM_SH_FOR_EPS","FQ1 2007","FQ1 2007","Currency=USD","Period=FQ","BEST_FPERIOD_OVERRIDE=FQ","FILING_STATUS=OR","Sort=A","Dates=H","DateFormat=P","Fill=—","Direction=H","UseDPDF=Y")</f>
        <v>412</v>
      </c>
      <c r="AJ34" s="13">
        <f>_xll.BDH("AMZN US Equity","IS_AVG_NUM_SH_FOR_EPS","FQ2 2007","FQ2 2007","Currency=USD","Period=FQ","BEST_FPERIOD_OVERRIDE=FQ","FILING_STATUS=OR","Sort=A","Dates=H","DateFormat=P","Fill=—","Direction=H","UseDPDF=Y")</f>
        <v>412</v>
      </c>
      <c r="AK34" s="13">
        <f>_xll.BDH("AMZN US Equity","IS_AVG_NUM_SH_FOR_EPS","FQ3 2007","FQ3 2007","Currency=USD","Period=FQ","BEST_FPERIOD_OVERRIDE=FQ","FILING_STATUS=OR","Sort=A","Dates=H","DateFormat=P","Fill=—","Direction=H","UseDPDF=Y")</f>
        <v>414</v>
      </c>
      <c r="AL34" s="13">
        <f>_xll.BDH("AMZN US Equity","IS_AVG_NUM_SH_FOR_EPS","FQ4 2007","FQ4 2007","Currency=USD","Period=FQ","BEST_FPERIOD_OVERRIDE=FQ","FILING_STATUS=OR","Sort=A","Dates=H","DateFormat=P","Fill=—","Direction=H","UseDPDF=Y")</f>
        <v>416</v>
      </c>
      <c r="AM34" s="13">
        <f>_xll.BDH("AMZN US Equity","IS_AVG_NUM_SH_FOR_EPS","FQ1 2008","FQ1 2008","Currency=USD","Period=FQ","BEST_FPERIOD_OVERRIDE=FQ","FILING_STATUS=OR","Sort=A","Dates=H","DateFormat=P","Fill=—","Direction=H","UseDPDF=Y")</f>
        <v>417</v>
      </c>
      <c r="AN34" s="13">
        <f>_xll.BDH("AMZN US Equity","IS_AVG_NUM_SH_FOR_EPS","FQ2 2008","FQ2 2008","Currency=USD","Period=FQ","BEST_FPERIOD_OVERRIDE=FQ","FILING_STATUS=OR","Sort=A","Dates=H","DateFormat=P","Fill=—","Direction=H","UseDPDF=Y")</f>
        <v>420</v>
      </c>
      <c r="AO34" s="13">
        <f>_xll.BDH("AMZN US Equity","IS_AVG_NUM_SH_FOR_EPS","FQ3 2008","FQ3 2008","Currency=USD","Period=FQ","BEST_FPERIOD_OVERRIDE=FQ","FILING_STATUS=OR","Sort=A","Dates=H","DateFormat=P","Fill=—","Direction=H","UseDPDF=Y")</f>
        <v>427</v>
      </c>
      <c r="AP34" s="13">
        <f>_xll.BDH("AMZN US Equity","IS_AVG_NUM_SH_FOR_EPS","FQ4 2008","FQ4 2008","Currency=USD","Period=FQ","BEST_FPERIOD_OVERRIDE=FQ","FILING_STATUS=OR","Sort=A","Dates=H","DateFormat=P","Fill=—","Direction=H","UseDPDF=Y")</f>
        <v>428</v>
      </c>
    </row>
    <row r="35" spans="1:42" x14ac:dyDescent="0.25">
      <c r="A35" s="6" t="s">
        <v>137</v>
      </c>
      <c r="B35" s="6" t="s">
        <v>138</v>
      </c>
      <c r="C35" s="17">
        <f>_xll.BDH("AMZN US Equity","IS_EPS","FQ4 1998","FQ4 1998","Currency=USD","Period=FQ","BEST_FPERIOD_OVERRIDE=FQ","FILING_STATUS=OR","FA_ADJUSTED=GAAP","Sort=A","Dates=H","DateFormat=P","Fill=—","Direction=H","UseDPDF=Y")</f>
        <v>-0.15</v>
      </c>
      <c r="D35" s="17">
        <f>_xll.BDH("AMZN US Equity","IS_EPS","FQ1 1999","FQ1 1999","Currency=USD","Period=FQ","BEST_FPERIOD_OVERRIDE=FQ","FILING_STATUS=OR","FA_ADJUSTED=GAAP","Sort=A","Dates=H","DateFormat=P","Fill=—","Direction=H","UseDPDF=Y")</f>
        <v>-0.2</v>
      </c>
      <c r="E35" s="17">
        <f>_xll.BDH("AMZN US Equity","IS_EPS","FQ2 1999","FQ2 1999","Currency=USD","Period=FQ","BEST_FPERIOD_OVERRIDE=FQ","FILING_STATUS=OR","FA_ADJUSTED=GAAP","Sort=A","Dates=H","DateFormat=P","Fill=—","Direction=H","UseDPDF=Y")</f>
        <v>-0.43</v>
      </c>
      <c r="F35" s="17">
        <f>_xll.BDH("AMZN US Equity","IS_EPS","FQ3 1999","FQ3 1999","Currency=USD","Period=FQ","BEST_FPERIOD_OVERRIDE=FQ","FILING_STATUS=OR","FA_ADJUSTED=GAAP","Sort=A","Dates=H","DateFormat=P","Fill=—","Direction=H","UseDPDF=Y")</f>
        <v>-0.59</v>
      </c>
      <c r="G35" s="17">
        <f>_xll.BDH("AMZN US Equity","IS_EPS","FQ4 1999","FQ4 1999","Currency=USD","Period=FQ","BEST_FPERIOD_OVERRIDE=FQ","FILING_STATUS=OR","FA_ADJUSTED=GAAP","Sort=A","Dates=H","DateFormat=P","Fill=—","Direction=H","UseDPDF=Y")</f>
        <v>-0.96</v>
      </c>
      <c r="H35" s="17">
        <f>_xll.BDH("AMZN US Equity","IS_EPS","FQ1 2000","FQ1 2000","Currency=USD","Period=FQ","BEST_FPERIOD_OVERRIDE=FQ","FILING_STATUS=OR","FA_ADJUSTED=GAAP","Sort=A","Dates=H","DateFormat=P","Fill=—","Direction=H","UseDPDF=Y")</f>
        <v>-0.9</v>
      </c>
      <c r="I35" s="17">
        <f>_xll.BDH("AMZN US Equity","IS_EPS","FQ3 2000","FQ3 2000","Currency=USD","Period=FQ","BEST_FPERIOD_OVERRIDE=FQ","FILING_STATUS=OR","FA_ADJUSTED=GAAP","Sort=A","Dates=H","DateFormat=P","Fill=—","Direction=H","UseDPDF=Y")</f>
        <v>-0.68</v>
      </c>
      <c r="J35" s="17">
        <f>_xll.BDH("AMZN US Equity","IS_EPS","FQ4 2000","FQ4 2000","Currency=USD","Period=FQ","BEST_FPERIOD_OVERRIDE=FQ","FILING_STATUS=OR","FA_ADJUSTED=GAAP","Sort=A","Dates=H","DateFormat=P","Fill=—","Direction=H","UseDPDF=Y")</f>
        <v>-1.53</v>
      </c>
      <c r="K35" s="17">
        <f>_xll.BDH("AMZN US Equity","IS_EPS","FQ1 2001","FQ1 2001","Currency=USD","Period=FQ","BEST_FPERIOD_OVERRIDE=FQ","FILING_STATUS=OR","FA_ADJUSTED=GAAP","Sort=A","Dates=H","DateFormat=P","Fill=—","Direction=H","UseDPDF=Y")</f>
        <v>-0.66</v>
      </c>
      <c r="L35" s="17">
        <f>_xll.BDH("AMZN US Equity","IS_EPS","FQ2 2001","FQ2 2001","Currency=USD","Period=FQ","BEST_FPERIOD_OVERRIDE=FQ","FILING_STATUS=OR","FA_ADJUSTED=GAAP","Sort=A","Dates=H","DateFormat=P","Fill=—","Direction=H","UseDPDF=Y")</f>
        <v>-0.47</v>
      </c>
      <c r="M35" s="17">
        <f>_xll.BDH("AMZN US Equity","IS_EPS","FQ3 2001","FQ3 2001","Currency=USD","Period=FQ","BEST_FPERIOD_OVERRIDE=FQ","FILING_STATUS=OR","FA_ADJUSTED=GAAP","Sort=A","Dates=H","DateFormat=P","Fill=—","Direction=H","UseDPDF=Y")</f>
        <v>-0.46</v>
      </c>
      <c r="N35" s="17">
        <f>_xll.BDH("AMZN US Equity","IS_EPS","FQ4 2001","FQ4 2001","Currency=USD","Period=FQ","BEST_FPERIOD_OVERRIDE=FQ","FILING_STATUS=OR","FA_ADJUSTED=GAAP","Sort=A","Dates=H","DateFormat=P","Fill=—","Direction=H","UseDPDF=Y")</f>
        <v>0.01</v>
      </c>
      <c r="O35" s="17">
        <f>_xll.BDH("AMZN US Equity","IS_EPS","FQ1 2002","FQ1 2002","Currency=USD","Period=FQ","BEST_FPERIOD_OVERRIDE=FQ","FILING_STATUS=OR","FA_ADJUSTED=GAAP","Sort=A","Dates=H","DateFormat=P","Fill=—","Direction=H","UseDPDF=Y")</f>
        <v>-0.06</v>
      </c>
      <c r="P35" s="17">
        <f>_xll.BDH("AMZN US Equity","IS_EPS","FQ2 2002","FQ2 2002","Currency=USD","Period=FQ","BEST_FPERIOD_OVERRIDE=FQ","FILING_STATUS=OR","FA_ADJUSTED=GAAP","Sort=A","Dates=H","DateFormat=P","Fill=—","Direction=H","UseDPDF=Y")</f>
        <v>-0.25</v>
      </c>
      <c r="Q35" s="17">
        <f>_xll.BDH("AMZN US Equity","IS_EPS","FQ3 2002","FQ3 2002","Currency=USD","Period=FQ","BEST_FPERIOD_OVERRIDE=FQ","FILING_STATUS=OR","FA_ADJUSTED=GAAP","Sort=A","Dates=H","DateFormat=P","Fill=—","Direction=H","UseDPDF=Y")</f>
        <v>-0.09</v>
      </c>
      <c r="R35" s="17">
        <f>_xll.BDH("AMZN US Equity","IS_EPS","FQ4 2002","FQ4 2002","Currency=USD","Period=FQ","BEST_FPERIOD_OVERRIDE=FQ","FILING_STATUS=OR","FA_ADJUSTED=GAAP","Sort=A","Dates=H","DateFormat=P","Fill=—","Direction=H","UseDPDF=Y")</f>
        <v>0.01</v>
      </c>
      <c r="S35" s="17">
        <f>_xll.BDH("AMZN US Equity","IS_EPS","FQ1 2003","FQ1 2003","Currency=USD","Period=FQ","BEST_FPERIOD_OVERRIDE=FQ","FILING_STATUS=OR","FA_ADJUSTED=GAAP","Sort=A","Dates=H","DateFormat=P","Fill=—","Direction=H","UseDPDF=Y")</f>
        <v>-0.03</v>
      </c>
      <c r="T35" s="17">
        <f>_xll.BDH("AMZN US Equity","IS_EPS","FQ2 2003","FQ2 2003","Currency=USD","Period=FQ","BEST_FPERIOD_OVERRIDE=FQ","FILING_STATUS=OR","FA_ADJUSTED=GAAP","Sort=A","Dates=H","DateFormat=P","Fill=—","Direction=H","UseDPDF=Y")</f>
        <v>-0.11</v>
      </c>
      <c r="U35" s="17">
        <f>_xll.BDH("AMZN US Equity","IS_EPS","FQ3 2003","FQ3 2003","Currency=USD","Period=FQ","BEST_FPERIOD_OVERRIDE=FQ","FILING_STATUS=OR","FA_ADJUSTED=GAAP","Sort=A","Dates=H","DateFormat=P","Fill=—","Direction=H","UseDPDF=Y")</f>
        <v>0.04</v>
      </c>
      <c r="V35" s="17">
        <f>_xll.BDH("AMZN US Equity","IS_EPS","FQ4 2003","FQ4 2003","Currency=USD","Period=FQ","BEST_FPERIOD_OVERRIDE=FQ","FILING_STATUS=OR","FA_ADJUSTED=GAAP","Sort=A","Dates=H","DateFormat=P","Fill=—","Direction=H","UseDPDF=Y")</f>
        <v>0.18</v>
      </c>
      <c r="W35" s="17">
        <f>_xll.BDH("AMZN US Equity","IS_EPS","FQ1 2004","FQ1 2004","Currency=USD","Period=FQ","BEST_FPERIOD_OVERRIDE=FQ","FILING_STATUS=OR","FA_ADJUSTED=GAAP","Sort=A","Dates=H","DateFormat=P","Fill=—","Direction=H","UseDPDF=Y")</f>
        <v>0.28000000000000003</v>
      </c>
      <c r="X35" s="17">
        <f>_xll.BDH("AMZN US Equity","IS_EPS","FQ2 2004","FQ2 2004","Currency=USD","Period=FQ","BEST_FPERIOD_OVERRIDE=FQ","FILING_STATUS=OR","FA_ADJUSTED=GAAP","Sort=A","Dates=H","DateFormat=P","Fill=—","Direction=H","UseDPDF=Y")</f>
        <v>0.19</v>
      </c>
      <c r="Y35" s="17">
        <f>_xll.BDH("AMZN US Equity","IS_EPS","FQ3 2004","FQ3 2004","Currency=USD","Period=FQ","BEST_FPERIOD_OVERRIDE=FQ","FILING_STATUS=OR","FA_ADJUSTED=GAAP","Sort=A","Dates=H","DateFormat=P","Fill=—","Direction=H","UseDPDF=Y")</f>
        <v>0.13</v>
      </c>
      <c r="Z35" s="17">
        <f>_xll.BDH("AMZN US Equity","IS_EPS","FQ4 2004","FQ4 2004","Currency=USD","Period=FQ","BEST_FPERIOD_OVERRIDE=FQ","FILING_STATUS=OR","FA_ADJUSTED=GAAP","Sort=A","Dates=H","DateFormat=P","Fill=—","Direction=H","UseDPDF=Y")</f>
        <v>0.85</v>
      </c>
      <c r="AA35" s="17">
        <f>_xll.BDH("AMZN US Equity","IS_EPS","FQ1 2005","FQ1 2005","Currency=USD","Period=FQ","BEST_FPERIOD_OVERRIDE=FQ","FILING_STATUS=OR","FA_ADJUSTED=GAAP","Sort=A","Dates=H","DateFormat=P","Fill=—","Direction=H","UseDPDF=Y")</f>
        <v>0.19</v>
      </c>
      <c r="AB35" s="17">
        <f>_xll.BDH("AMZN US Equity","IS_EPS","FQ2 2005","FQ2 2005","Currency=USD","Period=FQ","BEST_FPERIOD_OVERRIDE=FQ","FILING_STATUS=OR","FA_ADJUSTED=GAAP","Sort=A","Dates=H","DateFormat=P","Fill=—","Direction=H","UseDPDF=Y")</f>
        <v>0.13</v>
      </c>
      <c r="AC35" s="17">
        <f>_xll.BDH("AMZN US Equity","IS_EPS","FQ3 2005","FQ3 2005","Currency=USD","Period=FQ","BEST_FPERIOD_OVERRIDE=FQ","FILING_STATUS=OR","FA_ADJUSTED=GAAP","Sort=A","Dates=H","DateFormat=P","Fill=—","Direction=H","UseDPDF=Y")</f>
        <v>7.0000000000000007E-2</v>
      </c>
      <c r="AD35" s="17">
        <f>_xll.BDH("AMZN US Equity","IS_EPS","FQ4 2005","FQ4 2005","Currency=USD","Period=FQ","BEST_FPERIOD_OVERRIDE=FQ","FILING_STATUS=OR","FA_ADJUSTED=GAAP","Sort=A","Dates=H","DateFormat=P","Fill=—","Direction=H","UseDPDF=Y")</f>
        <v>0.48</v>
      </c>
      <c r="AE35" s="17">
        <f>_xll.BDH("AMZN US Equity","IS_EPS","FQ1 2006","FQ1 2006","Currency=USD","Period=FQ","BEST_FPERIOD_OVERRIDE=FQ","FILING_STATUS=OR","FA_ADJUSTED=GAAP","Sort=A","Dates=H","DateFormat=P","Fill=—","Direction=H","UseDPDF=Y")</f>
        <v>0.12</v>
      </c>
      <c r="AF35" s="17">
        <f>_xll.BDH("AMZN US Equity","IS_EPS","FQ2 2006","FQ2 2006","Currency=USD","Period=FQ","BEST_FPERIOD_OVERRIDE=FQ","FILING_STATUS=OR","FA_ADJUSTED=GAAP","Sort=A","Dates=H","DateFormat=P","Fill=—","Direction=H","UseDPDF=Y")</f>
        <v>0.05</v>
      </c>
      <c r="AG35" s="17">
        <f>_xll.BDH("AMZN US Equity","IS_EPS","FQ3 2006","FQ3 2006","Currency=USD","Period=FQ","BEST_FPERIOD_OVERRIDE=FQ","FILING_STATUS=OR","FA_ADJUSTED=GAAP","Sort=A","Dates=H","DateFormat=P","Fill=—","Direction=H","UseDPDF=Y")</f>
        <v>0.05</v>
      </c>
      <c r="AH35" s="17">
        <f>_xll.BDH("AMZN US Equity","IS_EPS","FQ4 2006","FQ4 2006","Currency=USD","Period=FQ","BEST_FPERIOD_OVERRIDE=FQ","FILING_STATUS=OR","FA_ADJUSTED=GAAP","Sort=A","Dates=H","DateFormat=P","Fill=—","Direction=H","UseDPDF=Y")</f>
        <v>0.24</v>
      </c>
      <c r="AI35" s="17">
        <f>_xll.BDH("AMZN US Equity","IS_EPS","FQ1 2007","FQ1 2007","Currency=USD","Period=FQ","BEST_FPERIOD_OVERRIDE=FQ","FILING_STATUS=OR","FA_ADJUSTED=GAAP","Sort=A","Dates=H","DateFormat=P","Fill=—","Direction=H","UseDPDF=Y")</f>
        <v>0.27</v>
      </c>
      <c r="AJ35" s="17">
        <f>_xll.BDH("AMZN US Equity","IS_EPS","FQ2 2007","FQ2 2007","Currency=USD","Period=FQ","BEST_FPERIOD_OVERRIDE=FQ","FILING_STATUS=OR","FA_ADJUSTED=GAAP","Sort=A","Dates=H","DateFormat=P","Fill=—","Direction=H","UseDPDF=Y")</f>
        <v>0.19</v>
      </c>
      <c r="AK35" s="17">
        <f>_xll.BDH("AMZN US Equity","IS_EPS","FQ3 2007","FQ3 2007","Currency=USD","Period=FQ","BEST_FPERIOD_OVERRIDE=FQ","FILING_STATUS=OR","FA_ADJUSTED=GAAP","Sort=A","Dates=H","DateFormat=P","Fill=—","Direction=H","UseDPDF=Y")</f>
        <v>0.19</v>
      </c>
      <c r="AL35" s="17">
        <f>_xll.BDH("AMZN US Equity","IS_EPS","FQ4 2007","FQ4 2007","Currency=USD","Period=FQ","BEST_FPERIOD_OVERRIDE=FQ","FILING_STATUS=OR","FA_ADJUSTED=GAAP","Sort=A","Dates=H","DateFormat=P","Fill=—","Direction=H","UseDPDF=Y")</f>
        <v>0.5</v>
      </c>
      <c r="AM35" s="17">
        <f>_xll.BDH("AMZN US Equity","IS_EPS","FQ1 2008","FQ1 2008","Currency=USD","Period=FQ","BEST_FPERIOD_OVERRIDE=FQ","FILING_STATUS=OR","FA_ADJUSTED=GAAP","Sort=A","Dates=H","DateFormat=P","Fill=—","Direction=H","UseDPDF=Y")</f>
        <v>0.34</v>
      </c>
      <c r="AN35" s="17">
        <f>_xll.BDH("AMZN US Equity","IS_EPS","FQ2 2008","FQ2 2008","Currency=USD","Period=FQ","BEST_FPERIOD_OVERRIDE=FQ","FILING_STATUS=OR","FA_ADJUSTED=GAAP","Sort=A","Dates=H","DateFormat=P","Fill=—","Direction=H","UseDPDF=Y")</f>
        <v>0.38</v>
      </c>
      <c r="AO35" s="17">
        <f>_xll.BDH("AMZN US Equity","IS_EPS","FQ3 2008","FQ3 2008","Currency=USD","Period=FQ","BEST_FPERIOD_OVERRIDE=FQ","FILING_STATUS=OR","FA_ADJUSTED=GAAP","Sort=A","Dates=H","DateFormat=P","Fill=—","Direction=H","UseDPDF=Y")</f>
        <v>0.28000000000000003</v>
      </c>
      <c r="AP35" s="17">
        <f>_xll.BDH("AMZN US Equity","IS_EPS","FQ4 2008","FQ4 2008","Currency=USD","Period=FQ","BEST_FPERIOD_OVERRIDE=FQ","FILING_STATUS=OR","FA_ADJUSTED=GAAP","Sort=A","Dates=H","DateFormat=P","Fill=—","Direction=H","UseDPDF=Y")</f>
        <v>0.52</v>
      </c>
    </row>
    <row r="36" spans="1:42" x14ac:dyDescent="0.25">
      <c r="A36" s="6" t="s">
        <v>139</v>
      </c>
      <c r="B36" s="6" t="s">
        <v>140</v>
      </c>
      <c r="C36" s="17">
        <f>_xll.BDH("AMZN US Equity","IS_EARN_BEF_XO_ITEMS_PER_SH","FQ4 1998","FQ4 1998","Currency=USD","Period=FQ","BEST_FPERIOD_OVERRIDE=FQ","FILING_STATUS=OR","Sort=A","Dates=H","DateFormat=P","Fill=—","Direction=H","UseDPDF=Y")</f>
        <v>-0.15</v>
      </c>
      <c r="D36" s="17">
        <f>_xll.BDH("AMZN US Equity","IS_EARN_BEF_XO_ITEMS_PER_SH","FQ1 1999","FQ1 1999","Currency=USD","Period=FQ","BEST_FPERIOD_OVERRIDE=FQ","FILING_STATUS=OR","Sort=A","Dates=H","DateFormat=P","Fill=—","Direction=H","UseDPDF=Y")</f>
        <v>-0.2</v>
      </c>
      <c r="E36" s="17">
        <f>_xll.BDH("AMZN US Equity","IS_EARN_BEF_XO_ITEMS_PER_SH","FQ2 1999","FQ2 1999","Currency=USD","Period=FQ","BEST_FPERIOD_OVERRIDE=FQ","FILING_STATUS=OR","Sort=A","Dates=H","DateFormat=P","Fill=—","Direction=H","UseDPDF=Y")</f>
        <v>-0.43</v>
      </c>
      <c r="F36" s="17">
        <f>_xll.BDH("AMZN US Equity","IS_EARN_BEF_XO_ITEMS_PER_SH","FQ3 1999","FQ3 1999","Currency=USD","Period=FQ","BEST_FPERIOD_OVERRIDE=FQ","FILING_STATUS=OR","Sort=A","Dates=H","DateFormat=P","Fill=—","Direction=H","UseDPDF=Y")</f>
        <v>-0.59</v>
      </c>
      <c r="G36" s="17">
        <f>_xll.BDH("AMZN US Equity","IS_EARN_BEF_XO_ITEMS_PER_SH","FQ4 1999","FQ4 1999","Currency=USD","Period=FQ","BEST_FPERIOD_OVERRIDE=FQ","FILING_STATUS=OR","Sort=A","Dates=H","DateFormat=P","Fill=—","Direction=H","UseDPDF=Y")</f>
        <v>-0.96</v>
      </c>
      <c r="H36" s="17">
        <f>_xll.BDH("AMZN US Equity","IS_EARN_BEF_XO_ITEMS_PER_SH","FQ1 2000","FQ1 2000","Currency=USD","Period=FQ","BEST_FPERIOD_OVERRIDE=FQ","FILING_STATUS=OR","Sort=A","Dates=H","DateFormat=P","Fill=—","Direction=H","UseDPDF=Y")</f>
        <v>-0.9</v>
      </c>
      <c r="I36" s="17">
        <f>_xll.BDH("AMZN US Equity","IS_EARN_BEF_XO_ITEMS_PER_SH","FQ3 2000","FQ3 2000","Currency=USD","Period=FQ","BEST_FPERIOD_OVERRIDE=FQ","FILING_STATUS=OR","Sort=A","Dates=H","DateFormat=P","Fill=—","Direction=H","UseDPDF=Y")</f>
        <v>-0.68</v>
      </c>
      <c r="J36" s="17">
        <f>_xll.BDH("AMZN US Equity","IS_EARN_BEF_XO_ITEMS_PER_SH","FQ4 2000","FQ4 2000","Currency=USD","Period=FQ","BEST_FPERIOD_OVERRIDE=FQ","FILING_STATUS=OR","Sort=A","Dates=H","DateFormat=P","Fill=—","Direction=H","UseDPDF=Y")</f>
        <v>-1.53</v>
      </c>
      <c r="K36" s="17">
        <f>_xll.BDH("AMZN US Equity","IS_EARN_BEF_XO_ITEMS_PER_SH","FQ1 2001","FQ1 2001","Currency=USD","Period=FQ","BEST_FPERIOD_OVERRIDE=FQ","FILING_STATUS=OR","Sort=A","Dates=H","DateFormat=P","Fill=—","Direction=H","UseDPDF=Y")</f>
        <v>-0.63</v>
      </c>
      <c r="L36" s="17">
        <f>_xll.BDH("AMZN US Equity","IS_EARN_BEF_XO_ITEMS_PER_SH","FQ2 2001","FQ2 2001","Currency=USD","Period=FQ","BEST_FPERIOD_OVERRIDE=FQ","FILING_STATUS=OR","Sort=A","Dates=H","DateFormat=P","Fill=—","Direction=H","UseDPDF=Y")</f>
        <v>-0.47</v>
      </c>
      <c r="M36" s="17">
        <f>_xll.BDH("AMZN US Equity","IS_EARN_BEF_XO_ITEMS_PER_SH","FQ3 2001","FQ3 2001","Currency=USD","Period=FQ","BEST_FPERIOD_OVERRIDE=FQ","FILING_STATUS=OR","Sort=A","Dates=H","DateFormat=P","Fill=—","Direction=H","UseDPDF=Y")</f>
        <v>-0.46</v>
      </c>
      <c r="N36" s="17">
        <f>_xll.BDH("AMZN US Equity","IS_EARN_BEF_XO_ITEMS_PER_SH","FQ4 2001","FQ4 2001","Currency=USD","Period=FQ","BEST_FPERIOD_OVERRIDE=FQ","FILING_STATUS=OR","Sort=A","Dates=H","DateFormat=P","Fill=—","Direction=H","UseDPDF=Y")</f>
        <v>0.01</v>
      </c>
      <c r="O36" s="17">
        <f>_xll.BDH("AMZN US Equity","IS_EARN_BEF_XO_ITEMS_PER_SH","FQ1 2002","FQ1 2002","Currency=USD","Period=FQ","BEST_FPERIOD_OVERRIDE=FQ","FILING_STATUS=OR","Sort=A","Dates=H","DateFormat=P","Fill=—","Direction=H","UseDPDF=Y")</f>
        <v>-0.06</v>
      </c>
      <c r="P36" s="17">
        <f>_xll.BDH("AMZN US Equity","IS_EARN_BEF_XO_ITEMS_PER_SH","FQ2 2002","FQ2 2002","Currency=USD","Period=FQ","BEST_FPERIOD_OVERRIDE=FQ","FILING_STATUS=OR","Sort=A","Dates=H","DateFormat=P","Fill=—","Direction=H","UseDPDF=Y")</f>
        <v>-0.25</v>
      </c>
      <c r="Q36" s="17">
        <f>_xll.BDH("AMZN US Equity","IS_EARN_BEF_XO_ITEMS_PER_SH","FQ3 2002","FQ3 2002","Currency=USD","Period=FQ","BEST_FPERIOD_OVERRIDE=FQ","FILING_STATUS=OR","Sort=A","Dates=H","DateFormat=P","Fill=—","Direction=H","UseDPDF=Y")</f>
        <v>-0.09</v>
      </c>
      <c r="R36" s="17">
        <f>_xll.BDH("AMZN US Equity","IS_EARN_BEF_XO_ITEMS_PER_SH","FQ4 2002","FQ4 2002","Currency=USD","Period=FQ","BEST_FPERIOD_OVERRIDE=FQ","FILING_STATUS=OR","Sort=A","Dates=H","DateFormat=P","Fill=—","Direction=H","UseDPDF=Y")</f>
        <v>0.01</v>
      </c>
      <c r="S36" s="17">
        <f>_xll.BDH("AMZN US Equity","IS_EARN_BEF_XO_ITEMS_PER_SH","FQ1 2003","FQ1 2003","Currency=USD","Period=FQ","BEST_FPERIOD_OVERRIDE=FQ","FILING_STATUS=OR","Sort=A","Dates=H","DateFormat=P","Fill=—","Direction=H","UseDPDF=Y")</f>
        <v>-0.03</v>
      </c>
      <c r="T36" s="17">
        <f>_xll.BDH("AMZN US Equity","IS_EARN_BEF_XO_ITEMS_PER_SH","FQ2 2003","FQ2 2003","Currency=USD","Period=FQ","BEST_FPERIOD_OVERRIDE=FQ","FILING_STATUS=OR","Sort=A","Dates=H","DateFormat=P","Fill=—","Direction=H","UseDPDF=Y")</f>
        <v>-0.11</v>
      </c>
      <c r="U36" s="17">
        <f>_xll.BDH("AMZN US Equity","IS_EARN_BEF_XO_ITEMS_PER_SH","FQ3 2003","FQ3 2003","Currency=USD","Period=FQ","BEST_FPERIOD_OVERRIDE=FQ","FILING_STATUS=OR","Sort=A","Dates=H","DateFormat=P","Fill=—","Direction=H","UseDPDF=Y")</f>
        <v>0.04</v>
      </c>
      <c r="V36" s="17">
        <f>_xll.BDH("AMZN US Equity","IS_EARN_BEF_XO_ITEMS_PER_SH","FQ4 2003","FQ4 2003","Currency=USD","Period=FQ","BEST_FPERIOD_OVERRIDE=FQ","FILING_STATUS=OR","Sort=A","Dates=H","DateFormat=P","Fill=—","Direction=H","UseDPDF=Y")</f>
        <v>0.18</v>
      </c>
      <c r="W36" s="17">
        <f>_xll.BDH("AMZN US Equity","IS_EARN_BEF_XO_ITEMS_PER_SH","FQ1 2004","FQ1 2004","Currency=USD","Period=FQ","BEST_FPERIOD_OVERRIDE=FQ","FILING_STATUS=OR","Sort=A","Dates=H","DateFormat=P","Fill=—","Direction=H","UseDPDF=Y")</f>
        <v>0.28000000000000003</v>
      </c>
      <c r="X36" s="17">
        <f>_xll.BDH("AMZN US Equity","IS_EARN_BEF_XO_ITEMS_PER_SH","FQ2 2004","FQ2 2004","Currency=USD","Period=FQ","BEST_FPERIOD_OVERRIDE=FQ","FILING_STATUS=OR","Sort=A","Dates=H","DateFormat=P","Fill=—","Direction=H","UseDPDF=Y")</f>
        <v>0.19</v>
      </c>
      <c r="Y36" s="17">
        <f>_xll.BDH("AMZN US Equity","IS_EARN_BEF_XO_ITEMS_PER_SH","FQ3 2004","FQ3 2004","Currency=USD","Period=FQ","BEST_FPERIOD_OVERRIDE=FQ","FILING_STATUS=OR","Sort=A","Dates=H","DateFormat=P","Fill=—","Direction=H","UseDPDF=Y")</f>
        <v>0.13</v>
      </c>
      <c r="Z36" s="17">
        <f>_xll.BDH("AMZN US Equity","IS_EARN_BEF_XO_ITEMS_PER_SH","FQ4 2004","FQ4 2004","Currency=USD","Period=FQ","BEST_FPERIOD_OVERRIDE=FQ","FILING_STATUS=OR","Sort=A","Dates=H","DateFormat=P","Fill=—","Direction=H","UseDPDF=Y")</f>
        <v>0.85</v>
      </c>
      <c r="AA36" s="17">
        <f>_xll.BDH("AMZN US Equity","IS_EARN_BEF_XO_ITEMS_PER_SH","FQ1 2005","FQ1 2005","Currency=USD","Period=FQ","BEST_FPERIOD_OVERRIDE=FQ","FILING_STATUS=OR","Sort=A","Dates=H","DateFormat=P","Fill=—","Direction=H","UseDPDF=Y")</f>
        <v>0.13</v>
      </c>
      <c r="AB36" s="17">
        <f>_xll.BDH("AMZN US Equity","IS_EARN_BEF_XO_ITEMS_PER_SH","FQ2 2005","FQ2 2005","Currency=USD","Period=FQ","BEST_FPERIOD_OVERRIDE=FQ","FILING_STATUS=OR","Sort=A","Dates=H","DateFormat=P","Fill=—","Direction=H","UseDPDF=Y")</f>
        <v>0.13</v>
      </c>
      <c r="AC36" s="17">
        <f>_xll.BDH("AMZN US Equity","IS_EARN_BEF_XO_ITEMS_PER_SH","FQ3 2005","FQ3 2005","Currency=USD","Period=FQ","BEST_FPERIOD_OVERRIDE=FQ","FILING_STATUS=OR","Sort=A","Dates=H","DateFormat=P","Fill=—","Direction=H","UseDPDF=Y")</f>
        <v>7.0000000000000007E-2</v>
      </c>
      <c r="AD36" s="17">
        <f>_xll.BDH("AMZN US Equity","IS_EARN_BEF_XO_ITEMS_PER_SH","FQ4 2005","FQ4 2005","Currency=USD","Period=FQ","BEST_FPERIOD_OVERRIDE=FQ","FILING_STATUS=OR","Sort=A","Dates=H","DateFormat=P","Fill=—","Direction=H","UseDPDF=Y")</f>
        <v>0.48</v>
      </c>
      <c r="AE36" s="17">
        <f>_xll.BDH("AMZN US Equity","IS_EARN_BEF_XO_ITEMS_PER_SH","FQ1 2006","FQ1 2006","Currency=USD","Period=FQ","BEST_FPERIOD_OVERRIDE=FQ","FILING_STATUS=OR","Sort=A","Dates=H","DateFormat=P","Fill=—","Direction=H","UseDPDF=Y")</f>
        <v>0.12</v>
      </c>
      <c r="AF36" s="17">
        <f>_xll.BDH("AMZN US Equity","IS_EARN_BEF_XO_ITEMS_PER_SH","FQ2 2006","FQ2 2006","Currency=USD","Period=FQ","BEST_FPERIOD_OVERRIDE=FQ","FILING_STATUS=OR","Sort=A","Dates=H","DateFormat=P","Fill=—","Direction=H","UseDPDF=Y")</f>
        <v>0.05</v>
      </c>
      <c r="AG36" s="17">
        <f>_xll.BDH("AMZN US Equity","IS_EARN_BEF_XO_ITEMS_PER_SH","FQ3 2006","FQ3 2006","Currency=USD","Period=FQ","BEST_FPERIOD_OVERRIDE=FQ","FILING_STATUS=OR","Sort=A","Dates=H","DateFormat=P","Fill=—","Direction=H","UseDPDF=Y")</f>
        <v>0.05</v>
      </c>
      <c r="AH36" s="17">
        <f>_xll.BDH("AMZN US Equity","IS_EARN_BEF_XO_ITEMS_PER_SH","FQ4 2006","FQ4 2006","Currency=USD","Period=FQ","BEST_FPERIOD_OVERRIDE=FQ","FILING_STATUS=OR","Sort=A","Dates=H","DateFormat=P","Fill=—","Direction=H","UseDPDF=Y")</f>
        <v>0.24</v>
      </c>
      <c r="AI36" s="17">
        <f>_xll.BDH("AMZN US Equity","IS_EARN_BEF_XO_ITEMS_PER_SH","FQ1 2007","FQ1 2007","Currency=USD","Period=FQ","BEST_FPERIOD_OVERRIDE=FQ","FILING_STATUS=OR","Sort=A","Dates=H","DateFormat=P","Fill=—","Direction=H","UseDPDF=Y")</f>
        <v>0.27</v>
      </c>
      <c r="AJ36" s="17">
        <f>_xll.BDH("AMZN US Equity","IS_EARN_BEF_XO_ITEMS_PER_SH","FQ2 2007","FQ2 2007","Currency=USD","Period=FQ","BEST_FPERIOD_OVERRIDE=FQ","FILING_STATUS=OR","Sort=A","Dates=H","DateFormat=P","Fill=—","Direction=H","UseDPDF=Y")</f>
        <v>0.19</v>
      </c>
      <c r="AK36" s="17">
        <f>_xll.BDH("AMZN US Equity","IS_EARN_BEF_XO_ITEMS_PER_SH","FQ3 2007","FQ3 2007","Currency=USD","Period=FQ","BEST_FPERIOD_OVERRIDE=FQ","FILING_STATUS=OR","Sort=A","Dates=H","DateFormat=P","Fill=—","Direction=H","UseDPDF=Y")</f>
        <v>0.19</v>
      </c>
      <c r="AL36" s="17">
        <f>_xll.BDH("AMZN US Equity","IS_EARN_BEF_XO_ITEMS_PER_SH","FQ4 2007","FQ4 2007","Currency=USD","Period=FQ","BEST_FPERIOD_OVERRIDE=FQ","FILING_STATUS=OR","Sort=A","Dates=H","DateFormat=P","Fill=—","Direction=H","UseDPDF=Y")</f>
        <v>0.5</v>
      </c>
      <c r="AM36" s="17">
        <f>_xll.BDH("AMZN US Equity","IS_EARN_BEF_XO_ITEMS_PER_SH","FQ1 2008","FQ1 2008","Currency=USD","Period=FQ","BEST_FPERIOD_OVERRIDE=FQ","FILING_STATUS=OR","Sort=A","Dates=H","DateFormat=P","Fill=—","Direction=H","UseDPDF=Y")</f>
        <v>0.34</v>
      </c>
      <c r="AN36" s="17">
        <f>_xll.BDH("AMZN US Equity","IS_EARN_BEF_XO_ITEMS_PER_SH","FQ2 2008","FQ2 2008","Currency=USD","Period=FQ","BEST_FPERIOD_OVERRIDE=FQ","FILING_STATUS=OR","Sort=A","Dates=H","DateFormat=P","Fill=—","Direction=H","UseDPDF=Y")</f>
        <v>0.38</v>
      </c>
      <c r="AO36" s="17">
        <f>_xll.BDH("AMZN US Equity","IS_EARN_BEF_XO_ITEMS_PER_SH","FQ3 2008","FQ3 2008","Currency=USD","Period=FQ","BEST_FPERIOD_OVERRIDE=FQ","FILING_STATUS=OR","Sort=A","Dates=H","DateFormat=P","Fill=—","Direction=H","UseDPDF=Y")</f>
        <v>0.28000000000000003</v>
      </c>
      <c r="AP36" s="17">
        <f>_xll.BDH("AMZN US Equity","IS_EARN_BEF_XO_ITEMS_PER_SH","FQ4 2008","FQ4 2008","Currency=USD","Period=FQ","BEST_FPERIOD_OVERRIDE=FQ","FILING_STATUS=OR","Sort=A","Dates=H","DateFormat=P","Fill=—","Direction=H","UseDPDF=Y")</f>
        <v>0.52</v>
      </c>
    </row>
    <row r="37" spans="1:42" x14ac:dyDescent="0.25">
      <c r="A37" s="6" t="s">
        <v>141</v>
      </c>
      <c r="B37" s="6" t="s">
        <v>142</v>
      </c>
      <c r="C37" s="17">
        <f>_xll.BDH("AMZN US Equity","IS_BASIC_EPS_CONT_OPS","FQ4 1998","FQ4 1998","Currency=USD","Period=FQ","BEST_FPERIOD_OVERRIDE=FQ","FILING_STATUS=OR","Sort=A","Dates=H","DateFormat=P","Fill=—","Direction=H","UseDPDF=Y")</f>
        <v>-7.0000000000000007E-2</v>
      </c>
      <c r="D37" s="17">
        <f>_xll.BDH("AMZN US Equity","IS_BASIC_EPS_CONT_OPS","FQ1 1999","FQ1 1999","Currency=USD","Period=FQ","BEST_FPERIOD_OVERRIDE=FQ","FILING_STATUS=OR","Sort=A","Dates=H","DateFormat=P","Fill=—","Direction=H","UseDPDF=Y")</f>
        <v>-0.115</v>
      </c>
      <c r="E37" s="17">
        <f>_xll.BDH("AMZN US Equity","IS_BASIC_EPS_CONT_OPS","FQ2 1999","FQ2 1999","Currency=USD","Period=FQ","BEST_FPERIOD_OVERRIDE=FQ","FILING_STATUS=OR","Sort=A","Dates=H","DateFormat=P","Fill=—","Direction=H","UseDPDF=Y")</f>
        <v>-0.255</v>
      </c>
      <c r="F37" s="17">
        <f>_xll.BDH("AMZN US Equity","IS_BASIC_EPS_CONT_OPS","FQ3 1999","FQ3 1999","Currency=USD","Period=FQ","BEST_FPERIOD_OVERRIDE=FQ","FILING_STATUS=OR","Sort=A","Dates=H","DateFormat=P","Fill=—","Direction=H","UseDPDF=Y")</f>
        <v>-0.26</v>
      </c>
      <c r="G37" s="17">
        <f>_xll.BDH("AMZN US Equity","IS_BASIC_EPS_CONT_OPS","FQ4 1999","FQ4 1999","Currency=USD","Period=FQ","BEST_FPERIOD_OVERRIDE=FQ","FILING_STATUS=OR","Sort=A","Dates=H","DateFormat=P","Fill=—","Direction=H","UseDPDF=Y")</f>
        <v>-0.55000000000000004</v>
      </c>
      <c r="H37" s="17">
        <f>_xll.BDH("AMZN US Equity","IS_BASIC_EPS_CONT_OPS","FQ1 2000","FQ1 2000","Currency=USD","Period=FQ","BEST_FPERIOD_OVERRIDE=FQ","FILING_STATUS=OR","Sort=A","Dates=H","DateFormat=P","Fill=—","Direction=H","UseDPDF=Y")</f>
        <v>-0.35</v>
      </c>
      <c r="I37" s="17">
        <f>_xll.BDH("AMZN US Equity","IS_BASIC_EPS_CONT_OPS","FQ3 2000","FQ3 2000","Currency=USD","Period=FQ","BEST_FPERIOD_OVERRIDE=FQ","FILING_STATUS=OR","Sort=A","Dates=H","DateFormat=P","Fill=—","Direction=H","UseDPDF=Y")</f>
        <v>-0.25</v>
      </c>
      <c r="J37" s="17">
        <f>_xll.BDH("AMZN US Equity","IS_BASIC_EPS_CONT_OPS","FQ4 2000","FQ4 2000","Currency=USD","Period=FQ","BEST_FPERIOD_OVERRIDE=FQ","FILING_STATUS=OR","Sort=A","Dates=H","DateFormat=P","Fill=—","Direction=H","UseDPDF=Y")</f>
        <v>-0.25</v>
      </c>
      <c r="K37" s="17">
        <f>_xll.BDH("AMZN US Equity","IS_BASIC_EPS_CONT_OPS","FQ1 2001","FQ1 2001","Currency=USD","Period=FQ","BEST_FPERIOD_OVERRIDE=FQ","FILING_STATUS=OR","Sort=A","Dates=H","DateFormat=P","Fill=—","Direction=H","UseDPDF=Y")</f>
        <v>-0.21</v>
      </c>
      <c r="L37" s="17">
        <f>_xll.BDH("AMZN US Equity","IS_BASIC_EPS_CONT_OPS","FQ2 2001","FQ2 2001","Currency=USD","Period=FQ","BEST_FPERIOD_OVERRIDE=FQ","FILING_STATUS=OR","Sort=A","Dates=H","DateFormat=P","Fill=—","Direction=H","UseDPDF=Y")</f>
        <v>-0.16</v>
      </c>
      <c r="M37" s="17">
        <f>_xll.BDH("AMZN US Equity","IS_BASIC_EPS_CONT_OPS","FQ3 2001","FQ3 2001","Currency=USD","Period=FQ","BEST_FPERIOD_OVERRIDE=FQ","FILING_STATUS=OR","Sort=A","Dates=H","DateFormat=P","Fill=—","Direction=H","UseDPDF=Y")</f>
        <v>-0.46</v>
      </c>
      <c r="N37" s="17">
        <f>_xll.BDH("AMZN US Equity","IS_BASIC_EPS_CONT_OPS","FQ4 2001","FQ4 2001","Currency=USD","Period=FQ","BEST_FPERIOD_OVERRIDE=FQ","FILING_STATUS=OR","Sort=A","Dates=H","DateFormat=P","Fill=—","Direction=H","UseDPDF=Y")</f>
        <v>0.09</v>
      </c>
      <c r="O37" s="17">
        <f>_xll.BDH("AMZN US Equity","IS_BASIC_EPS_CONT_OPS","FQ1 2002","FQ1 2002","Currency=USD","Period=FQ","BEST_FPERIOD_OVERRIDE=FQ","FILING_STATUS=OR","Sort=A","Dates=H","DateFormat=P","Fill=—","Direction=H","UseDPDF=Y")</f>
        <v>-0.01</v>
      </c>
      <c r="P37" s="17">
        <f>_xll.BDH("AMZN US Equity","IS_BASIC_EPS_CONT_OPS","FQ2 2002","FQ2 2002","Currency=USD","Period=FQ","BEST_FPERIOD_OVERRIDE=FQ","FILING_STATUS=OR","Sort=A","Dates=H","DateFormat=P","Fill=—","Direction=H","UseDPDF=Y")</f>
        <v>-0.01</v>
      </c>
      <c r="Q37" s="17">
        <f>_xll.BDH("AMZN US Equity","IS_BASIC_EPS_CONT_OPS","FQ3 2002","FQ3 2002","Currency=USD","Period=FQ","BEST_FPERIOD_OVERRIDE=FQ","FILING_STATUS=OR","Sort=A","Dates=H","DateFormat=P","Fill=—","Direction=H","UseDPDF=Y")</f>
        <v>0</v>
      </c>
      <c r="R37" s="17">
        <f>_xll.BDH("AMZN US Equity","IS_BASIC_EPS_CONT_OPS","FQ4 2002","FQ4 2002","Currency=USD","Period=FQ","BEST_FPERIOD_OVERRIDE=FQ","FILING_STATUS=OR","Sort=A","Dates=H","DateFormat=P","Fill=—","Direction=H","UseDPDF=Y")</f>
        <v>0.2</v>
      </c>
      <c r="S37" s="17">
        <f>_xll.BDH("AMZN US Equity","IS_BASIC_EPS_CONT_OPS","FQ1 2003","FQ1 2003","Currency=USD","Period=FQ","BEST_FPERIOD_OVERRIDE=FQ","FILING_STATUS=OR","Sort=A","Dates=H","DateFormat=P","Fill=—","Direction=H","UseDPDF=Y")</f>
        <v>0.1</v>
      </c>
      <c r="T37" s="17">
        <f>_xll.BDH("AMZN US Equity","IS_BASIC_EPS_CONT_OPS","FQ2 2003","FQ2 2003","Currency=USD","Period=FQ","BEST_FPERIOD_OVERRIDE=FQ","FILING_STATUS=OR","Sort=A","Dates=H","DateFormat=P","Fill=—","Direction=H","UseDPDF=Y")</f>
        <v>0.11</v>
      </c>
      <c r="U37" s="17">
        <f>_xll.BDH("AMZN US Equity","IS_BASIC_EPS_CONT_OPS","FQ3 2003","FQ3 2003","Currency=USD","Period=FQ","BEST_FPERIOD_OVERRIDE=FQ","FILING_STATUS=OR","Sort=A","Dates=H","DateFormat=P","Fill=—","Direction=H","UseDPDF=Y")</f>
        <v>0.12</v>
      </c>
      <c r="V37" s="17">
        <f>_xll.BDH("AMZN US Equity","IS_BASIC_EPS_CONT_OPS","FQ4 2003","FQ4 2003","Currency=USD","Period=FQ","BEST_FPERIOD_OVERRIDE=FQ","FILING_STATUS=OR","Sort=A","Dates=H","DateFormat=P","Fill=—","Direction=H","UseDPDF=Y")</f>
        <v>0.31</v>
      </c>
      <c r="W37" s="17">
        <f>_xll.BDH("AMZN US Equity","IS_BASIC_EPS_CONT_OPS","FQ1 2004","FQ1 2004","Currency=USD","Period=FQ","BEST_FPERIOD_OVERRIDE=FQ","FILING_STATUS=OR","Sort=A","Dates=H","DateFormat=P","Fill=—","Direction=H","UseDPDF=Y")</f>
        <v>0.24</v>
      </c>
      <c r="X37" s="17">
        <f>_xll.BDH("AMZN US Equity","IS_BASIC_EPS_CONT_OPS","FQ2 2004","FQ2 2004","Currency=USD","Period=FQ","BEST_FPERIOD_OVERRIDE=FQ","FILING_STATUS=OR","Sort=A","Dates=H","DateFormat=P","Fill=—","Direction=H","UseDPDF=Y")</f>
        <v>0.18</v>
      </c>
      <c r="Y37" s="17">
        <f>_xll.BDH("AMZN US Equity","IS_BASIC_EPS_CONT_OPS","FQ3 2004","FQ3 2004","Currency=USD","Period=FQ","BEST_FPERIOD_OVERRIDE=FQ","FILING_STATUS=OR","Sort=A","Dates=H","DateFormat=P","Fill=—","Direction=H","UseDPDF=Y")</f>
        <v>0.18</v>
      </c>
      <c r="Z37" s="17">
        <f>_xll.BDH("AMZN US Equity","IS_BASIC_EPS_CONT_OPS","FQ4 2004","FQ4 2004","Currency=USD","Period=FQ","BEST_FPERIOD_OVERRIDE=FQ","FILING_STATUS=OR","Sort=A","Dates=H","DateFormat=P","Fill=—","Direction=H","UseDPDF=Y")</f>
        <v>0.36</v>
      </c>
      <c r="AA37" s="17">
        <f>_xll.BDH("AMZN US Equity","IS_BASIC_EPS_CONT_OPS","FQ1 2005","FQ1 2005","Currency=USD","Period=FQ","BEST_FPERIOD_OVERRIDE=FQ","FILING_STATUS=OR","Sort=A","Dates=H","DateFormat=P","Fill=—","Direction=H","UseDPDF=Y")</f>
        <v>0.13</v>
      </c>
      <c r="AB37" s="17">
        <f>_xll.BDH("AMZN US Equity","IS_BASIC_EPS_CONT_OPS","FQ2 2005","FQ2 2005","Currency=USD","Period=FQ","BEST_FPERIOD_OVERRIDE=FQ","FILING_STATUS=OR","Sort=A","Dates=H","DateFormat=P","Fill=—","Direction=H","UseDPDF=Y")</f>
        <v>0.13</v>
      </c>
      <c r="AC37" s="17">
        <f>_xll.BDH("AMZN US Equity","IS_BASIC_EPS_CONT_OPS","FQ3 2005","FQ3 2005","Currency=USD","Period=FQ","BEST_FPERIOD_OVERRIDE=FQ","FILING_STATUS=OR","Sort=A","Dates=H","DateFormat=P","Fill=—","Direction=H","UseDPDF=Y")</f>
        <v>0.13</v>
      </c>
      <c r="AD37" s="17">
        <f>_xll.BDH("AMZN US Equity","IS_BASIC_EPS_CONT_OPS","FQ4 2005","FQ4 2005","Currency=USD","Period=FQ","BEST_FPERIOD_OVERRIDE=FQ","FILING_STATUS=OR","Sort=A","Dates=H","DateFormat=P","Fill=—","Direction=H","UseDPDF=Y")</f>
        <v>0.26</v>
      </c>
      <c r="AE37" s="17">
        <f>_xll.BDH("AMZN US Equity","IS_BASIC_EPS_CONT_OPS","FQ1 2006","FQ1 2006","Currency=USD","Period=FQ","BEST_FPERIOD_OVERRIDE=FQ","FILING_STATUS=OR","Sort=A","Dates=H","DateFormat=P","Fill=—","Direction=H","UseDPDF=Y")</f>
        <v>0.12</v>
      </c>
      <c r="AF37" s="17">
        <f>_xll.BDH("AMZN US Equity","IS_BASIC_EPS_CONT_OPS","FQ2 2006","FQ2 2006","Currency=USD","Period=FQ","BEST_FPERIOD_OVERRIDE=FQ","FILING_STATUS=OR","Sort=A","Dates=H","DateFormat=P","Fill=—","Direction=H","UseDPDF=Y")</f>
        <v>0.05</v>
      </c>
      <c r="AG37" s="17">
        <f>_xll.BDH("AMZN US Equity","IS_BASIC_EPS_CONT_OPS","FQ3 2006","FQ3 2006","Currency=USD","Period=FQ","BEST_FPERIOD_OVERRIDE=FQ","FILING_STATUS=OR","Sort=A","Dates=H","DateFormat=P","Fill=—","Direction=H","UseDPDF=Y")</f>
        <v>0.05</v>
      </c>
      <c r="AH37" s="17">
        <f>_xll.BDH("AMZN US Equity","IS_BASIC_EPS_CONT_OPS","FQ4 2006","FQ4 2006","Currency=USD","Period=FQ","BEST_FPERIOD_OVERRIDE=FQ","FILING_STATUS=OR","Sort=A","Dates=H","DateFormat=P","Fill=—","Direction=H","UseDPDF=Y")</f>
        <v>0.24</v>
      </c>
      <c r="AI37" s="17">
        <f>_xll.BDH("AMZN US Equity","IS_BASIC_EPS_CONT_OPS","FQ1 2007","FQ1 2007","Currency=USD","Period=FQ","BEST_FPERIOD_OVERRIDE=FQ","FILING_STATUS=OR","Sort=A","Dates=H","DateFormat=P","Fill=—","Direction=H","UseDPDF=Y")</f>
        <v>0.27</v>
      </c>
      <c r="AJ37" s="17">
        <f>_xll.BDH("AMZN US Equity","IS_BASIC_EPS_CONT_OPS","FQ2 2007","FQ2 2007","Currency=USD","Period=FQ","BEST_FPERIOD_OVERRIDE=FQ","FILING_STATUS=OR","Sort=A","Dates=H","DateFormat=P","Fill=—","Direction=H","UseDPDF=Y")</f>
        <v>0.19</v>
      </c>
      <c r="AK37" s="17">
        <f>_xll.BDH("AMZN US Equity","IS_BASIC_EPS_CONT_OPS","FQ3 2007","FQ3 2007","Currency=USD","Period=FQ","BEST_FPERIOD_OVERRIDE=FQ","FILING_STATUS=OR","Sort=A","Dates=H","DateFormat=P","Fill=—","Direction=H","UseDPDF=Y")</f>
        <v>0.19</v>
      </c>
      <c r="AL37" s="17">
        <f>_xll.BDH("AMZN US Equity","IS_BASIC_EPS_CONT_OPS","FQ4 2007","FQ4 2007","Currency=USD","Period=FQ","BEST_FPERIOD_OVERRIDE=FQ","FILING_STATUS=OR","Sort=A","Dates=H","DateFormat=P","Fill=—","Direction=H","UseDPDF=Y")</f>
        <v>0.5</v>
      </c>
      <c r="AM37" s="17">
        <f>_xll.BDH("AMZN US Equity","IS_BASIC_EPS_CONT_OPS","FQ1 2008","FQ1 2008","Currency=USD","Period=FQ","BEST_FPERIOD_OVERRIDE=FQ","FILING_STATUS=OR","Sort=A","Dates=H","DateFormat=P","Fill=—","Direction=H","UseDPDF=Y")</f>
        <v>0.34</v>
      </c>
      <c r="AN37" s="17">
        <f>_xll.BDH("AMZN US Equity","IS_BASIC_EPS_CONT_OPS","FQ2 2008","FQ2 2008","Currency=USD","Period=FQ","BEST_FPERIOD_OVERRIDE=FQ","FILING_STATUS=OR","Sort=A","Dates=H","DateFormat=P","Fill=—","Direction=H","UseDPDF=Y")</f>
        <v>0.28000000000000003</v>
      </c>
      <c r="AO37" s="17">
        <f>_xll.BDH("AMZN US Equity","IS_BASIC_EPS_CONT_OPS","FQ3 2008","FQ3 2008","Currency=USD","Period=FQ","BEST_FPERIOD_OVERRIDE=FQ","FILING_STATUS=OR","Sort=A","Dates=H","DateFormat=P","Fill=—","Direction=H","UseDPDF=Y")</f>
        <v>0.28000000000000003</v>
      </c>
      <c r="AP37" s="17">
        <f>_xll.BDH("AMZN US Equity","IS_BASIC_EPS_CONT_OPS","FQ4 2008","FQ4 2008","Currency=USD","Period=FQ","BEST_FPERIOD_OVERRIDE=FQ","FILING_STATUS=OR","Sort=A","Dates=H","DateFormat=P","Fill=—","Direction=H","UseDPDF=Y")</f>
        <v>0.52</v>
      </c>
    </row>
    <row r="38" spans="1:42" x14ac:dyDescent="0.25">
      <c r="A38" s="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s="10" t="s">
        <v>143</v>
      </c>
      <c r="B39" s="10" t="s">
        <v>144</v>
      </c>
      <c r="C39" s="13">
        <f>_xll.BDH("AMZN US Equity","IS_SH_FOR_DILUTED_EPS","FQ4 1998","FQ4 1998","Currency=USD","Period=FQ","BEST_FPERIOD_OVERRIDE=FQ","FILING_STATUS=OR","Sort=A","Dates=H","DateFormat=P","Fill=—","Direction=H","UseDPDF=Y")</f>
        <v>308.77800000000002</v>
      </c>
      <c r="D39" s="13">
        <f>_xll.BDH("AMZN US Equity","IS_SH_FOR_DILUTED_EPS","FQ1 1999","FQ1 1999","Currency=USD","Period=FQ","BEST_FPERIOD_OVERRIDE=FQ","FILING_STATUS=OR","Sort=A","Dates=H","DateFormat=P","Fill=—","Direction=H","UseDPDF=Y")</f>
        <v>313.79399999999998</v>
      </c>
      <c r="E39" s="13">
        <f>_xll.BDH("AMZN US Equity","IS_SH_FOR_DILUTED_EPS","FQ2 1999","FQ2 1999","Currency=USD","Period=FQ","BEST_FPERIOD_OVERRIDE=FQ","FILING_STATUS=OR","Sort=A","Dates=H","DateFormat=P","Fill=—","Direction=H","UseDPDF=Y")</f>
        <v>322.33999999999997</v>
      </c>
      <c r="F39" s="13">
        <f>_xll.BDH("AMZN US Equity","IS_SH_FOR_DILUTED_EPS","FQ3 1999","FQ3 1999","Currency=USD","Period=FQ","BEST_FPERIOD_OVERRIDE=FQ","FILING_STATUS=OR","Sort=A","Dates=H","DateFormat=P","Fill=—","Direction=H","UseDPDF=Y")</f>
        <v>332.488</v>
      </c>
      <c r="G39" s="13">
        <f>_xll.BDH("AMZN US Equity","IS_SH_FOR_DILUTED_EPS","FQ4 1999","FQ4 1999","Currency=USD","Period=FQ","BEST_FPERIOD_OVERRIDE=FQ","FILING_STATUS=OR","Sort=A","Dates=H","DateFormat=P","Fill=—","Direction=H","UseDPDF=Y")</f>
        <v>338.38900000000001</v>
      </c>
      <c r="H39" s="13">
        <f>_xll.BDH("AMZN US Equity","IS_SH_FOR_DILUTED_EPS","FQ1 2000","FQ1 2000","Currency=USD","Period=FQ","BEST_FPERIOD_OVERRIDE=FQ","FILING_STATUS=OR","Sort=A","Dates=H","DateFormat=P","Fill=—","Direction=H","UseDPDF=Y")</f>
        <v>343.88400000000001</v>
      </c>
      <c r="I39" s="13">
        <f>_xll.BDH("AMZN US Equity","IS_SH_FOR_DILUTED_EPS","FQ3 2000","FQ3 2000","Currency=USD","Period=FQ","BEST_FPERIOD_OVERRIDE=FQ","FILING_STATUS=OR","Sort=A","Dates=H","DateFormat=P","Fill=—","Direction=H","UseDPDF=Y")</f>
        <v>353.95400000000001</v>
      </c>
      <c r="J39" s="13">
        <f>_xll.BDH("AMZN US Equity","IS_SH_FOR_DILUTED_EPS","FQ4 2000","FQ4 2000","Currency=USD","Period=FQ","BEST_FPERIOD_OVERRIDE=FQ","FILING_STATUS=OR","Sort=A","Dates=H","DateFormat=P","Fill=—","Direction=H","UseDPDF=Y")</f>
        <v>355.68099999999998</v>
      </c>
      <c r="K39" s="13">
        <f>_xll.BDH("AMZN US Equity","IS_SH_FOR_DILUTED_EPS","FQ1 2001","FQ1 2001","Currency=USD","Period=FQ","BEST_FPERIOD_OVERRIDE=FQ","FILING_STATUS=OR","Sort=A","Dates=H","DateFormat=P","Fill=—","Direction=H","UseDPDF=Y")</f>
        <v>357.42399999999998</v>
      </c>
      <c r="L39" s="13">
        <f>_xll.BDH("AMZN US Equity","IS_SH_FOR_DILUTED_EPS","FQ2 2001","FQ2 2001","Currency=USD","Period=FQ","BEST_FPERIOD_OVERRIDE=FQ","FILING_STATUS=OR","Sort=A","Dates=H","DateFormat=P","Fill=—","Direction=H","UseDPDF=Y")</f>
        <v>359.75200000000001</v>
      </c>
      <c r="M39" s="13">
        <f>_xll.BDH("AMZN US Equity","IS_SH_FOR_DILUTED_EPS","FQ3 2001","FQ3 2001","Currency=USD","Period=FQ","BEST_FPERIOD_OVERRIDE=FQ","FILING_STATUS=OR","Sort=A","Dates=H","DateFormat=P","Fill=—","Direction=H","UseDPDF=Y")</f>
        <v>368.05200000000002</v>
      </c>
      <c r="N39" s="13">
        <f>_xll.BDH("AMZN US Equity","IS_SH_FOR_DILUTED_EPS","FQ4 2001","FQ4 2001","Currency=USD","Period=FQ","BEST_FPERIOD_OVERRIDE=FQ","FILING_STATUS=OR","Sort=A","Dates=H","DateFormat=P","Fill=—","Direction=H","UseDPDF=Y")</f>
        <v>384.04500000000002</v>
      </c>
      <c r="O39" s="13">
        <f>_xll.BDH("AMZN US Equity","IS_SH_FOR_DILUTED_EPS","FQ1 2002","FQ1 2002","Currency=USD","Period=FQ","BEST_FPERIOD_OVERRIDE=FQ","FILING_STATUS=OR","Sort=A","Dates=H","DateFormat=P","Fill=—","Direction=H","UseDPDF=Y")</f>
        <v>373.03100000000001</v>
      </c>
      <c r="P39" s="13">
        <f>_xll.BDH("AMZN US Equity","IS_SH_FOR_DILUTED_EPS","FQ2 2002","FQ2 2002","Currency=USD","Period=FQ","BEST_FPERIOD_OVERRIDE=FQ","FILING_STATUS=OR","Sort=A","Dates=H","DateFormat=P","Fill=—","Direction=H","UseDPDF=Y")</f>
        <v>376.93700000000001</v>
      </c>
      <c r="Q39" s="13">
        <f>_xll.BDH("AMZN US Equity","IS_SH_FOR_DILUTED_EPS","FQ3 2002","FQ3 2002","Currency=USD","Period=FQ","BEST_FPERIOD_OVERRIDE=FQ","FILING_STATUS=OR","Sort=A","Dates=H","DateFormat=P","Fill=—","Direction=H","UseDPDF=Y")</f>
        <v>379.65</v>
      </c>
      <c r="R39" s="13">
        <f>_xll.BDH("AMZN US Equity","IS_SH_FOR_DILUTED_EPS","FQ4 2002","FQ4 2002","Currency=USD","Period=FQ","BEST_FPERIOD_OVERRIDE=FQ","FILING_STATUS=OR","Sort=A","Dates=H","DateFormat=P","Fill=—","Direction=H","UseDPDF=Y")</f>
        <v>407.05599999999998</v>
      </c>
      <c r="S39" s="13">
        <f>_xll.BDH("AMZN US Equity","IS_SH_FOR_DILUTED_EPS","FQ1 2003","FQ1 2003","Currency=USD","Period=FQ","BEST_FPERIOD_OVERRIDE=FQ","FILING_STATUS=OR","Sort=A","Dates=H","DateFormat=P","Fill=—","Direction=H","UseDPDF=Y")</f>
        <v>411.09100000000001</v>
      </c>
      <c r="T39" s="13">
        <f>_xll.BDH("AMZN US Equity","IS_SH_FOR_DILUTED_EPS","FQ2 2003","FQ2 2003","Currency=USD","Period=FQ","BEST_FPERIOD_OVERRIDE=FQ","FILING_STATUS=OR","Sort=A","Dates=H","DateFormat=P","Fill=—","Direction=H","UseDPDF=Y")</f>
        <v>418.13799999999998</v>
      </c>
      <c r="U39" s="13">
        <f>_xll.BDH("AMZN US Equity","IS_SH_FOR_DILUTED_EPS","FQ3 2003","FQ3 2003","Currency=USD","Period=FQ","BEST_FPERIOD_OVERRIDE=FQ","FILING_STATUS=OR","Sort=A","Dates=H","DateFormat=P","Fill=—","Direction=H","UseDPDF=Y")</f>
        <v>422.80200000000002</v>
      </c>
      <c r="V39" s="13">
        <f>_xll.BDH("AMZN US Equity","IS_SH_FOR_DILUTED_EPS","FQ4 2003","FQ4 2003","Currency=USD","Period=FQ","BEST_FPERIOD_OVERRIDE=FQ","FILING_STATUS=OR","Sort=A","Dates=H","DateFormat=P","Fill=—","Direction=H","UseDPDF=Y")</f>
        <v>425.214</v>
      </c>
      <c r="W39" s="13">
        <f>_xll.BDH("AMZN US Equity","IS_SH_FOR_DILUTED_EPS","FQ1 2004","FQ1 2004","Currency=USD","Period=FQ","BEST_FPERIOD_OVERRIDE=FQ","FILING_STATUS=OR","Sort=A","Dates=H","DateFormat=P","Fill=—","Direction=H","UseDPDF=Y")</f>
        <v>424.51900000000001</v>
      </c>
      <c r="X39" s="13">
        <f>_xll.BDH("AMZN US Equity","IS_SH_FOR_DILUTED_EPS","FQ2 2004","FQ2 2004","Currency=USD","Period=FQ","BEST_FPERIOD_OVERRIDE=FQ","FILING_STATUS=OR","Sort=A","Dates=H","DateFormat=P","Fill=—","Direction=H","UseDPDF=Y")</f>
        <v>424.678</v>
      </c>
      <c r="Y39" s="13">
        <f>_xll.BDH("AMZN US Equity","IS_SH_FOR_DILUTED_EPS","FQ3 2004","FQ3 2004","Currency=USD","Period=FQ","BEST_FPERIOD_OVERRIDE=FQ","FILING_STATUS=OR","Sort=A","Dates=H","DateFormat=P","Fill=—","Direction=H","UseDPDF=Y")</f>
        <v>424.77699999999999</v>
      </c>
      <c r="Z39" s="13">
        <f>_xll.BDH("AMZN US Equity","IS_SH_FOR_DILUTED_EPS","FQ4 2004","FQ4 2004","Currency=USD","Period=FQ","BEST_FPERIOD_OVERRIDE=FQ","FILING_STATUS=OR","Sort=A","Dates=H","DateFormat=P","Fill=—","Direction=H","UseDPDF=Y")</f>
        <v>425.03399999999999</v>
      </c>
      <c r="AA39" s="13">
        <f>_xll.BDH("AMZN US Equity","IS_SH_FOR_DILUTED_EPS","FQ1 2005","FQ1 2005","Currency=USD","Period=FQ","BEST_FPERIOD_OVERRIDE=FQ","FILING_STATUS=OR","Sort=A","Dates=H","DateFormat=P","Fill=—","Direction=H","UseDPDF=Y")</f>
        <v>423</v>
      </c>
      <c r="AB39" s="13">
        <f>_xll.BDH("AMZN US Equity","IS_SH_FOR_DILUTED_EPS","FQ2 2005","FQ2 2005","Currency=USD","Period=FQ","BEST_FPERIOD_OVERRIDE=FQ","FILING_STATUS=OR","Sort=A","Dates=H","DateFormat=P","Fill=—","Direction=H","UseDPDF=Y")</f>
        <v>425</v>
      </c>
      <c r="AC39" s="13">
        <f>_xll.BDH("AMZN US Equity","IS_SH_FOR_DILUTED_EPS","FQ3 2005","FQ3 2005","Currency=USD","Period=FQ","BEST_FPERIOD_OVERRIDE=FQ","FILING_STATUS=OR","Sort=A","Dates=H","DateFormat=P","Fill=—","Direction=H","UseDPDF=Y")</f>
        <v>428</v>
      </c>
      <c r="AD39" s="13">
        <f>_xll.BDH("AMZN US Equity","IS_SH_FOR_DILUTED_EPS","FQ4 2005","FQ4 2005","Currency=USD","Period=FQ","BEST_FPERIOD_OVERRIDE=FQ","FILING_STATUS=OR","Sort=A","Dates=H","DateFormat=P","Fill=—","Direction=H","UseDPDF=Y")</f>
        <v>426</v>
      </c>
      <c r="AE39" s="13">
        <f>_xll.BDH("AMZN US Equity","IS_SH_FOR_DILUTED_EPS","FQ1 2006","FQ1 2006","Currency=USD","Period=FQ","BEST_FPERIOD_OVERRIDE=FQ","FILING_STATUS=OR","Sort=A","Dates=H","DateFormat=P","Fill=—","Direction=H","UseDPDF=Y")</f>
        <v>426</v>
      </c>
      <c r="AF39" s="13">
        <f>_xll.BDH("AMZN US Equity","IS_SH_FOR_DILUTED_EPS","FQ2 2006","FQ2 2006","Currency=USD","Period=FQ","BEST_FPERIOD_OVERRIDE=FQ","FILING_STATUS=OR","Sort=A","Dates=H","DateFormat=P","Fill=—","Direction=H","UseDPDF=Y")</f>
        <v>426</v>
      </c>
      <c r="AG39" s="13">
        <f>_xll.BDH("AMZN US Equity","IS_SH_FOR_DILUTED_EPS","FQ3 2006","FQ3 2006","Currency=USD","Period=FQ","BEST_FPERIOD_OVERRIDE=FQ","FILING_STATUS=OR","Sort=A","Dates=H","DateFormat=P","Fill=—","Direction=H","UseDPDF=Y")</f>
        <v>424</v>
      </c>
      <c r="AH39" s="13">
        <f>_xll.BDH("AMZN US Equity","IS_SH_FOR_DILUTED_EPS","FQ4 2006","FQ4 2006","Currency=USD","Period=FQ","BEST_FPERIOD_OVERRIDE=FQ","FILING_STATUS=OR","Sort=A","Dates=H","DateFormat=P","Fill=—","Direction=H","UseDPDF=Y")</f>
        <v>424</v>
      </c>
      <c r="AI39" s="13">
        <f>_xll.BDH("AMZN US Equity","IS_SH_FOR_DILUTED_EPS","FQ1 2007","FQ1 2007","Currency=USD","Period=FQ","BEST_FPERIOD_OVERRIDE=FQ","FILING_STATUS=OR","Sort=A","Dates=H","DateFormat=P","Fill=—","Direction=H","UseDPDF=Y")</f>
        <v>420</v>
      </c>
      <c r="AJ39" s="13">
        <f>_xll.BDH("AMZN US Equity","IS_SH_FOR_DILUTED_EPS","FQ2 2007","FQ2 2007","Currency=USD","Period=FQ","BEST_FPERIOD_OVERRIDE=FQ","FILING_STATUS=OR","Sort=A","Dates=H","DateFormat=P","Fill=—","Direction=H","UseDPDF=Y")</f>
        <v>423</v>
      </c>
      <c r="AK39" s="13">
        <f>_xll.BDH("AMZN US Equity","IS_SH_FOR_DILUTED_EPS","FQ3 2007","FQ3 2007","Currency=USD","Period=FQ","BEST_FPERIOD_OVERRIDE=FQ","FILING_STATUS=OR","Sort=A","Dates=H","DateFormat=P","Fill=—","Direction=H","UseDPDF=Y")</f>
        <v>425</v>
      </c>
      <c r="AL39" s="13">
        <f>_xll.BDH("AMZN US Equity","IS_SH_FOR_DILUTED_EPS","FQ4 2007","FQ4 2007","Currency=USD","Period=FQ","BEST_FPERIOD_OVERRIDE=FQ","FILING_STATUS=OR","Sort=A","Dates=H","DateFormat=P","Fill=—","Direction=H","UseDPDF=Y")</f>
        <v>427</v>
      </c>
      <c r="AM39" s="13">
        <f>_xll.BDH("AMZN US Equity","IS_SH_FOR_DILUTED_EPS","FQ1 2008","FQ1 2008","Currency=USD","Period=FQ","BEST_FPERIOD_OVERRIDE=FQ","FILING_STATUS=OR","Sort=A","Dates=H","DateFormat=P","Fill=—","Direction=H","UseDPDF=Y")</f>
        <v>426</v>
      </c>
      <c r="AN39" s="13">
        <f>_xll.BDH("AMZN US Equity","IS_SH_FOR_DILUTED_EPS","FQ2 2008","FQ2 2008","Currency=USD","Period=FQ","BEST_FPERIOD_OVERRIDE=FQ","FILING_STATUS=OR","Sort=A","Dates=H","DateFormat=P","Fill=—","Direction=H","UseDPDF=Y")</f>
        <v>430</v>
      </c>
      <c r="AO39" s="13">
        <f>_xll.BDH("AMZN US Equity","IS_SH_FOR_DILUTED_EPS","FQ3 2008","FQ3 2008","Currency=USD","Period=FQ","BEST_FPERIOD_OVERRIDE=FQ","FILING_STATUS=OR","Sort=A","Dates=H","DateFormat=P","Fill=—","Direction=H","UseDPDF=Y")</f>
        <v>436</v>
      </c>
      <c r="AP39" s="13">
        <f>_xll.BDH("AMZN US Equity","IS_SH_FOR_DILUTED_EPS","FQ4 2008","FQ4 2008","Currency=USD","Period=FQ","BEST_FPERIOD_OVERRIDE=FQ","FILING_STATUS=OR","Sort=A","Dates=H","DateFormat=P","Fill=—","Direction=H","UseDPDF=Y")</f>
        <v>436</v>
      </c>
    </row>
    <row r="40" spans="1:42" x14ac:dyDescent="0.25">
      <c r="A40" s="6" t="s">
        <v>145</v>
      </c>
      <c r="B40" s="6" t="s">
        <v>146</v>
      </c>
      <c r="C40" s="17">
        <f>_xll.BDH("AMZN US Equity","IS_DILUTED_EPS","FQ4 1998","FQ4 1998","Currency=USD","Period=FQ","BEST_FPERIOD_OVERRIDE=FQ","FILING_STATUS=OR","FA_ADJUSTED=GAAP","Sort=A","Dates=H","DateFormat=P","Fill=—","Direction=H","UseDPDF=Y")</f>
        <v>-0.15</v>
      </c>
      <c r="D40" s="17">
        <f>_xll.BDH("AMZN US Equity","IS_DILUTED_EPS","FQ1 1999","FQ1 1999","Currency=USD","Period=FQ","BEST_FPERIOD_OVERRIDE=FQ","FILING_STATUS=OR","FA_ADJUSTED=GAAP","Sort=A","Dates=H","DateFormat=P","Fill=—","Direction=H","UseDPDF=Y")</f>
        <v>-0.2</v>
      </c>
      <c r="E40" s="17">
        <f>_xll.BDH("AMZN US Equity","IS_DILUTED_EPS","FQ2 1999","FQ2 1999","Currency=USD","Period=FQ","BEST_FPERIOD_OVERRIDE=FQ","FILING_STATUS=OR","FA_ADJUSTED=GAAP","Sort=A","Dates=H","DateFormat=P","Fill=—","Direction=H","UseDPDF=Y")</f>
        <v>-0.43</v>
      </c>
      <c r="F40" s="17">
        <f>_xll.BDH("AMZN US Equity","IS_DILUTED_EPS","FQ3 1999","FQ3 1999","Currency=USD","Period=FQ","BEST_FPERIOD_OVERRIDE=FQ","FILING_STATUS=OR","FA_ADJUSTED=GAAP","Sort=A","Dates=H","DateFormat=P","Fill=—","Direction=H","UseDPDF=Y")</f>
        <v>-0.59</v>
      </c>
      <c r="G40" s="17">
        <f>_xll.BDH("AMZN US Equity","IS_DILUTED_EPS","FQ4 1999","FQ4 1999","Currency=USD","Period=FQ","BEST_FPERIOD_OVERRIDE=FQ","FILING_STATUS=OR","FA_ADJUSTED=GAAP","Sort=A","Dates=H","DateFormat=P","Fill=—","Direction=H","UseDPDF=Y")</f>
        <v>-0.96</v>
      </c>
      <c r="H40" s="17">
        <f>_xll.BDH("AMZN US Equity","IS_DILUTED_EPS","FQ1 2000","FQ1 2000","Currency=USD","Period=FQ","BEST_FPERIOD_OVERRIDE=FQ","FILING_STATUS=OR","FA_ADJUSTED=GAAP","Sort=A","Dates=H","DateFormat=P","Fill=—","Direction=H","UseDPDF=Y")</f>
        <v>-0.9</v>
      </c>
      <c r="I40" s="17">
        <f>_xll.BDH("AMZN US Equity","IS_DILUTED_EPS","FQ3 2000","FQ3 2000","Currency=USD","Period=FQ","BEST_FPERIOD_OVERRIDE=FQ","FILING_STATUS=OR","FA_ADJUSTED=GAAP","Sort=A","Dates=H","DateFormat=P","Fill=—","Direction=H","UseDPDF=Y")</f>
        <v>-0.68</v>
      </c>
      <c r="J40" s="17">
        <f>_xll.BDH("AMZN US Equity","IS_DILUTED_EPS","FQ4 2000","FQ4 2000","Currency=USD","Period=FQ","BEST_FPERIOD_OVERRIDE=FQ","FILING_STATUS=OR","FA_ADJUSTED=GAAP","Sort=A","Dates=H","DateFormat=P","Fill=—","Direction=H","UseDPDF=Y")</f>
        <v>-1.53</v>
      </c>
      <c r="K40" s="17">
        <f>_xll.BDH("AMZN US Equity","IS_DILUTED_EPS","FQ1 2001","FQ1 2001","Currency=USD","Period=FQ","BEST_FPERIOD_OVERRIDE=FQ","FILING_STATUS=OR","FA_ADJUSTED=GAAP","Sort=A","Dates=H","DateFormat=P","Fill=—","Direction=H","UseDPDF=Y")</f>
        <v>-0.66</v>
      </c>
      <c r="L40" s="17">
        <f>_xll.BDH("AMZN US Equity","IS_DILUTED_EPS","FQ2 2001","FQ2 2001","Currency=USD","Period=FQ","BEST_FPERIOD_OVERRIDE=FQ","FILING_STATUS=OR","FA_ADJUSTED=GAAP","Sort=A","Dates=H","DateFormat=P","Fill=—","Direction=H","UseDPDF=Y")</f>
        <v>-0.47</v>
      </c>
      <c r="M40" s="17">
        <f>_xll.BDH("AMZN US Equity","IS_DILUTED_EPS","FQ3 2001","FQ3 2001","Currency=USD","Period=FQ","BEST_FPERIOD_OVERRIDE=FQ","FILING_STATUS=OR","FA_ADJUSTED=GAAP","Sort=A","Dates=H","DateFormat=P","Fill=—","Direction=H","UseDPDF=Y")</f>
        <v>-0.46</v>
      </c>
      <c r="N40" s="17">
        <f>_xll.BDH("AMZN US Equity","IS_DILUTED_EPS","FQ4 2001","FQ4 2001","Currency=USD","Period=FQ","BEST_FPERIOD_OVERRIDE=FQ","FILING_STATUS=OR","FA_ADJUSTED=GAAP","Sort=A","Dates=H","DateFormat=P","Fill=—","Direction=H","UseDPDF=Y")</f>
        <v>0.01</v>
      </c>
      <c r="O40" s="17">
        <f>_xll.BDH("AMZN US Equity","IS_DILUTED_EPS","FQ1 2002","FQ1 2002","Currency=USD","Period=FQ","BEST_FPERIOD_OVERRIDE=FQ","FILING_STATUS=OR","FA_ADJUSTED=GAAP","Sort=A","Dates=H","DateFormat=P","Fill=—","Direction=H","UseDPDF=Y")</f>
        <v>-0.06</v>
      </c>
      <c r="P40" s="17">
        <f>_xll.BDH("AMZN US Equity","IS_DILUTED_EPS","FQ2 2002","FQ2 2002","Currency=USD","Period=FQ","BEST_FPERIOD_OVERRIDE=FQ","FILING_STATUS=OR","FA_ADJUSTED=GAAP","Sort=A","Dates=H","DateFormat=P","Fill=—","Direction=H","UseDPDF=Y")</f>
        <v>-0.25</v>
      </c>
      <c r="Q40" s="17">
        <f>_xll.BDH("AMZN US Equity","IS_DILUTED_EPS","FQ3 2002","FQ3 2002","Currency=USD","Period=FQ","BEST_FPERIOD_OVERRIDE=FQ","FILING_STATUS=OR","FA_ADJUSTED=GAAP","Sort=A","Dates=H","DateFormat=P","Fill=—","Direction=H","UseDPDF=Y")</f>
        <v>-0.09</v>
      </c>
      <c r="R40" s="17">
        <f>_xll.BDH("AMZN US Equity","IS_DILUTED_EPS","FQ4 2002","FQ4 2002","Currency=USD","Period=FQ","BEST_FPERIOD_OVERRIDE=FQ","FILING_STATUS=OR","FA_ADJUSTED=GAAP","Sort=A","Dates=H","DateFormat=P","Fill=—","Direction=H","UseDPDF=Y")</f>
        <v>0.01</v>
      </c>
      <c r="S40" s="17">
        <f>_xll.BDH("AMZN US Equity","IS_DILUTED_EPS","FQ1 2003","FQ1 2003","Currency=USD","Period=FQ","BEST_FPERIOD_OVERRIDE=FQ","FILING_STATUS=OR","FA_ADJUSTED=GAAP","Sort=A","Dates=H","DateFormat=P","Fill=—","Direction=H","UseDPDF=Y")</f>
        <v>-0.03</v>
      </c>
      <c r="T40" s="17">
        <f>_xll.BDH("AMZN US Equity","IS_DILUTED_EPS","FQ2 2003","FQ2 2003","Currency=USD","Period=FQ","BEST_FPERIOD_OVERRIDE=FQ","FILING_STATUS=OR","FA_ADJUSTED=GAAP","Sort=A","Dates=H","DateFormat=P","Fill=—","Direction=H","UseDPDF=Y")</f>
        <v>-0.11</v>
      </c>
      <c r="U40" s="17">
        <f>_xll.BDH("AMZN US Equity","IS_DILUTED_EPS","FQ3 2003","FQ3 2003","Currency=USD","Period=FQ","BEST_FPERIOD_OVERRIDE=FQ","FILING_STATUS=OR","FA_ADJUSTED=GAAP","Sort=A","Dates=H","DateFormat=P","Fill=—","Direction=H","UseDPDF=Y")</f>
        <v>0.04</v>
      </c>
      <c r="V40" s="17">
        <f>_xll.BDH("AMZN US Equity","IS_DILUTED_EPS","FQ4 2003","FQ4 2003","Currency=USD","Period=FQ","BEST_FPERIOD_OVERRIDE=FQ","FILING_STATUS=OR","FA_ADJUSTED=GAAP","Sort=A","Dates=H","DateFormat=P","Fill=—","Direction=H","UseDPDF=Y")</f>
        <v>0.17</v>
      </c>
      <c r="W40" s="17">
        <f>_xll.BDH("AMZN US Equity","IS_DILUTED_EPS","FQ1 2004","FQ1 2004","Currency=USD","Period=FQ","BEST_FPERIOD_OVERRIDE=FQ","FILING_STATUS=OR","FA_ADJUSTED=GAAP","Sort=A","Dates=H","DateFormat=P","Fill=—","Direction=H","UseDPDF=Y")</f>
        <v>0.26</v>
      </c>
      <c r="X40" s="17">
        <f>_xll.BDH("AMZN US Equity","IS_DILUTED_EPS","FQ2 2004","FQ2 2004","Currency=USD","Period=FQ","BEST_FPERIOD_OVERRIDE=FQ","FILING_STATUS=OR","FA_ADJUSTED=GAAP","Sort=A","Dates=H","DateFormat=P","Fill=—","Direction=H","UseDPDF=Y")</f>
        <v>0.18</v>
      </c>
      <c r="Y40" s="17">
        <f>_xll.BDH("AMZN US Equity","IS_DILUTED_EPS","FQ3 2004","FQ3 2004","Currency=USD","Period=FQ","BEST_FPERIOD_OVERRIDE=FQ","FILING_STATUS=OR","FA_ADJUSTED=GAAP","Sort=A","Dates=H","DateFormat=P","Fill=—","Direction=H","UseDPDF=Y")</f>
        <v>0.13</v>
      </c>
      <c r="Z40" s="17">
        <f>_xll.BDH("AMZN US Equity","IS_DILUTED_EPS","FQ4 2004","FQ4 2004","Currency=USD","Period=FQ","BEST_FPERIOD_OVERRIDE=FQ","FILING_STATUS=OR","FA_ADJUSTED=GAAP","Sort=A","Dates=H","DateFormat=P","Fill=—","Direction=H","UseDPDF=Y")</f>
        <v>0.82</v>
      </c>
      <c r="AA40" s="17">
        <f>_xll.BDH("AMZN US Equity","IS_DILUTED_EPS","FQ1 2005","FQ1 2005","Currency=USD","Period=FQ","BEST_FPERIOD_OVERRIDE=FQ","FILING_STATUS=OR","FA_ADJUSTED=GAAP","Sort=A","Dates=H","DateFormat=P","Fill=—","Direction=H","UseDPDF=Y")</f>
        <v>0.18</v>
      </c>
      <c r="AB40" s="17">
        <f>_xll.BDH("AMZN US Equity","IS_DILUTED_EPS","FQ2 2005","FQ2 2005","Currency=USD","Period=FQ","BEST_FPERIOD_OVERRIDE=FQ","FILING_STATUS=OR","FA_ADJUSTED=GAAP","Sort=A","Dates=H","DateFormat=P","Fill=—","Direction=H","UseDPDF=Y")</f>
        <v>0.12</v>
      </c>
      <c r="AC40" s="17">
        <f>_xll.BDH("AMZN US Equity","IS_DILUTED_EPS","FQ3 2005","FQ3 2005","Currency=USD","Period=FQ","BEST_FPERIOD_OVERRIDE=FQ","FILING_STATUS=OR","FA_ADJUSTED=GAAP","Sort=A","Dates=H","DateFormat=P","Fill=—","Direction=H","UseDPDF=Y")</f>
        <v>7.0000000000000007E-2</v>
      </c>
      <c r="AD40" s="17">
        <f>_xll.BDH("AMZN US Equity","IS_DILUTED_EPS","FQ4 2005","FQ4 2005","Currency=USD","Period=FQ","BEST_FPERIOD_OVERRIDE=FQ","FILING_STATUS=OR","FA_ADJUSTED=GAAP","Sort=A","Dates=H","DateFormat=P","Fill=—","Direction=H","UseDPDF=Y")</f>
        <v>0.47</v>
      </c>
      <c r="AE40" s="17">
        <f>_xll.BDH("AMZN US Equity","IS_DILUTED_EPS","FQ1 2006","FQ1 2006","Currency=USD","Period=FQ","BEST_FPERIOD_OVERRIDE=FQ","FILING_STATUS=OR","FA_ADJUSTED=GAAP","Sort=A","Dates=H","DateFormat=P","Fill=—","Direction=H","UseDPDF=Y")</f>
        <v>0.12</v>
      </c>
      <c r="AF40" s="17">
        <f>_xll.BDH("AMZN US Equity","IS_DILUTED_EPS","FQ2 2006","FQ2 2006","Currency=USD","Period=FQ","BEST_FPERIOD_OVERRIDE=FQ","FILING_STATUS=OR","FA_ADJUSTED=GAAP","Sort=A","Dates=H","DateFormat=P","Fill=—","Direction=H","UseDPDF=Y")</f>
        <v>0.05</v>
      </c>
      <c r="AG40" s="17">
        <f>_xll.BDH("AMZN US Equity","IS_DILUTED_EPS","FQ3 2006","FQ3 2006","Currency=USD","Period=FQ","BEST_FPERIOD_OVERRIDE=FQ","FILING_STATUS=OR","FA_ADJUSTED=GAAP","Sort=A","Dates=H","DateFormat=P","Fill=—","Direction=H","UseDPDF=Y")</f>
        <v>0.05</v>
      </c>
      <c r="AH40" s="17">
        <f>_xll.BDH("AMZN US Equity","IS_DILUTED_EPS","FQ4 2006","FQ4 2006","Currency=USD","Period=FQ","BEST_FPERIOD_OVERRIDE=FQ","FILING_STATUS=OR","FA_ADJUSTED=GAAP","Sort=A","Dates=H","DateFormat=P","Fill=—","Direction=H","UseDPDF=Y")</f>
        <v>0.23</v>
      </c>
      <c r="AI40" s="17">
        <f>_xll.BDH("AMZN US Equity","IS_DILUTED_EPS","FQ1 2007","FQ1 2007","Currency=USD","Period=FQ","BEST_FPERIOD_OVERRIDE=FQ","FILING_STATUS=OR","FA_ADJUSTED=GAAP","Sort=A","Dates=H","DateFormat=P","Fill=—","Direction=H","UseDPDF=Y")</f>
        <v>0.26</v>
      </c>
      <c r="AJ40" s="17">
        <f>_xll.BDH("AMZN US Equity","IS_DILUTED_EPS","FQ2 2007","FQ2 2007","Currency=USD","Period=FQ","BEST_FPERIOD_OVERRIDE=FQ","FILING_STATUS=OR","FA_ADJUSTED=GAAP","Sort=A","Dates=H","DateFormat=P","Fill=—","Direction=H","UseDPDF=Y")</f>
        <v>0.19</v>
      </c>
      <c r="AK40" s="17">
        <f>_xll.BDH("AMZN US Equity","IS_DILUTED_EPS","FQ3 2007","FQ3 2007","Currency=USD","Period=FQ","BEST_FPERIOD_OVERRIDE=FQ","FILING_STATUS=OR","FA_ADJUSTED=GAAP","Sort=A","Dates=H","DateFormat=P","Fill=—","Direction=H","UseDPDF=Y")</f>
        <v>0.19</v>
      </c>
      <c r="AL40" s="17">
        <f>_xll.BDH("AMZN US Equity","IS_DILUTED_EPS","FQ4 2007","FQ4 2007","Currency=USD","Period=FQ","BEST_FPERIOD_OVERRIDE=FQ","FILING_STATUS=OR","FA_ADJUSTED=GAAP","Sort=A","Dates=H","DateFormat=P","Fill=—","Direction=H","UseDPDF=Y")</f>
        <v>0.48</v>
      </c>
      <c r="AM40" s="17">
        <f>_xll.BDH("AMZN US Equity","IS_DILUTED_EPS","FQ1 2008","FQ1 2008","Currency=USD","Period=FQ","BEST_FPERIOD_OVERRIDE=FQ","FILING_STATUS=OR","FA_ADJUSTED=GAAP","Sort=A","Dates=H","DateFormat=P","Fill=—","Direction=H","UseDPDF=Y")</f>
        <v>0.34</v>
      </c>
      <c r="AN40" s="17">
        <f>_xll.BDH("AMZN US Equity","IS_DILUTED_EPS","FQ2 2008","FQ2 2008","Currency=USD","Period=FQ","BEST_FPERIOD_OVERRIDE=FQ","FILING_STATUS=OR","FA_ADJUSTED=GAAP","Sort=A","Dates=H","DateFormat=P","Fill=—","Direction=H","UseDPDF=Y")</f>
        <v>0.37</v>
      </c>
      <c r="AO40" s="17">
        <f>_xll.BDH("AMZN US Equity","IS_DILUTED_EPS","FQ3 2008","FQ3 2008","Currency=USD","Period=FQ","BEST_FPERIOD_OVERRIDE=FQ","FILING_STATUS=OR","FA_ADJUSTED=GAAP","Sort=A","Dates=H","DateFormat=P","Fill=—","Direction=H","UseDPDF=Y")</f>
        <v>0.27</v>
      </c>
      <c r="AP40" s="17">
        <f>_xll.BDH("AMZN US Equity","IS_DILUTED_EPS","FQ4 2008","FQ4 2008","Currency=USD","Period=FQ","BEST_FPERIOD_OVERRIDE=FQ","FILING_STATUS=OR","FA_ADJUSTED=GAAP","Sort=A","Dates=H","DateFormat=P","Fill=—","Direction=H","UseDPDF=Y")</f>
        <v>0.52</v>
      </c>
    </row>
    <row r="41" spans="1:42" x14ac:dyDescent="0.25">
      <c r="A41" s="6" t="s">
        <v>147</v>
      </c>
      <c r="B41" s="6" t="s">
        <v>148</v>
      </c>
      <c r="C41" s="17">
        <f>_xll.BDH("AMZN US Equity","IS_DIL_EPS_BEF_XO","FQ4 1998","FQ4 1998","Currency=USD","Period=FQ","BEST_FPERIOD_OVERRIDE=FQ","FILING_STATUS=OR","Sort=A","Dates=H","DateFormat=P","Fill=—","Direction=H","UseDPDF=Y")</f>
        <v>-0.15</v>
      </c>
      <c r="D41" s="17">
        <f>_xll.BDH("AMZN US Equity","IS_DIL_EPS_BEF_XO","FQ1 1999","FQ1 1999","Currency=USD","Period=FQ","BEST_FPERIOD_OVERRIDE=FQ","FILING_STATUS=OR","Sort=A","Dates=H","DateFormat=P","Fill=—","Direction=H","UseDPDF=Y")</f>
        <v>-0.2</v>
      </c>
      <c r="E41" s="17">
        <f>_xll.BDH("AMZN US Equity","IS_DIL_EPS_BEF_XO","FQ2 1999","FQ2 1999","Currency=USD","Period=FQ","BEST_FPERIOD_OVERRIDE=FQ","FILING_STATUS=OR","Sort=A","Dates=H","DateFormat=P","Fill=—","Direction=H","UseDPDF=Y")</f>
        <v>-0.43</v>
      </c>
      <c r="F41" s="17">
        <f>_xll.BDH("AMZN US Equity","IS_DIL_EPS_BEF_XO","FQ3 1999","FQ3 1999","Currency=USD","Period=FQ","BEST_FPERIOD_OVERRIDE=FQ","FILING_STATUS=OR","Sort=A","Dates=H","DateFormat=P","Fill=—","Direction=H","UseDPDF=Y")</f>
        <v>-0.59</v>
      </c>
      <c r="G41" s="17">
        <f>_xll.BDH("AMZN US Equity","IS_DIL_EPS_BEF_XO","FQ4 1999","FQ4 1999","Currency=USD","Period=FQ","BEST_FPERIOD_OVERRIDE=FQ","FILING_STATUS=OR","Sort=A","Dates=H","DateFormat=P","Fill=—","Direction=H","UseDPDF=Y")</f>
        <v>-0.96</v>
      </c>
      <c r="H41" s="17">
        <f>_xll.BDH("AMZN US Equity","IS_DIL_EPS_BEF_XO","FQ1 2000","FQ1 2000","Currency=USD","Period=FQ","BEST_FPERIOD_OVERRIDE=FQ","FILING_STATUS=OR","Sort=A","Dates=H","DateFormat=P","Fill=—","Direction=H","UseDPDF=Y")</f>
        <v>-0.9</v>
      </c>
      <c r="I41" s="17">
        <f>_xll.BDH("AMZN US Equity","IS_DIL_EPS_BEF_XO","FQ3 2000","FQ3 2000","Currency=USD","Period=FQ","BEST_FPERIOD_OVERRIDE=FQ","FILING_STATUS=OR","Sort=A","Dates=H","DateFormat=P","Fill=—","Direction=H","UseDPDF=Y")</f>
        <v>-0.68</v>
      </c>
      <c r="J41" s="17">
        <f>_xll.BDH("AMZN US Equity","IS_DIL_EPS_BEF_XO","FQ4 2000","FQ4 2000","Currency=USD","Period=FQ","BEST_FPERIOD_OVERRIDE=FQ","FILING_STATUS=OR","Sort=A","Dates=H","DateFormat=P","Fill=—","Direction=H","UseDPDF=Y")</f>
        <v>-1.53</v>
      </c>
      <c r="K41" s="17">
        <f>_xll.BDH("AMZN US Equity","IS_DIL_EPS_BEF_XO","FQ1 2001","FQ1 2001","Currency=USD","Period=FQ","BEST_FPERIOD_OVERRIDE=FQ","FILING_STATUS=OR","Sort=A","Dates=H","DateFormat=P","Fill=—","Direction=H","UseDPDF=Y")</f>
        <v>-0.63</v>
      </c>
      <c r="L41" s="17">
        <f>_xll.BDH("AMZN US Equity","IS_DIL_EPS_BEF_XO","FQ2 2001","FQ2 2001","Currency=USD","Period=FQ","BEST_FPERIOD_OVERRIDE=FQ","FILING_STATUS=OR","Sort=A","Dates=H","DateFormat=P","Fill=—","Direction=H","UseDPDF=Y")</f>
        <v>-0.47</v>
      </c>
      <c r="M41" s="17">
        <f>_xll.BDH("AMZN US Equity","IS_DIL_EPS_BEF_XO","FQ3 2001","FQ3 2001","Currency=USD","Period=FQ","BEST_FPERIOD_OVERRIDE=FQ","FILING_STATUS=OR","Sort=A","Dates=H","DateFormat=P","Fill=—","Direction=H","UseDPDF=Y")</f>
        <v>-0.46</v>
      </c>
      <c r="N41" s="17">
        <f>_xll.BDH("AMZN US Equity","IS_DIL_EPS_BEF_XO","FQ4 2001","FQ4 2001","Currency=USD","Period=FQ","BEST_FPERIOD_OVERRIDE=FQ","FILING_STATUS=OR","Sort=A","Dates=H","DateFormat=P","Fill=—","Direction=H","UseDPDF=Y")</f>
        <v>0.01</v>
      </c>
      <c r="O41" s="17">
        <f>_xll.BDH("AMZN US Equity","IS_DIL_EPS_BEF_XO","FQ1 2002","FQ1 2002","Currency=USD","Period=FQ","BEST_FPERIOD_OVERRIDE=FQ","FILING_STATUS=OR","Sort=A","Dates=H","DateFormat=P","Fill=—","Direction=H","UseDPDF=Y")</f>
        <v>-0.06</v>
      </c>
      <c r="P41" s="17">
        <f>_xll.BDH("AMZN US Equity","IS_DIL_EPS_BEF_XO","FQ2 2002","FQ2 2002","Currency=USD","Period=FQ","BEST_FPERIOD_OVERRIDE=FQ","FILING_STATUS=OR","Sort=A","Dates=H","DateFormat=P","Fill=—","Direction=H","UseDPDF=Y")</f>
        <v>-0.25</v>
      </c>
      <c r="Q41" s="17">
        <f>_xll.BDH("AMZN US Equity","IS_DIL_EPS_BEF_XO","FQ3 2002","FQ3 2002","Currency=USD","Period=FQ","BEST_FPERIOD_OVERRIDE=FQ","FILING_STATUS=OR","Sort=A","Dates=H","DateFormat=P","Fill=—","Direction=H","UseDPDF=Y")</f>
        <v>-0.09</v>
      </c>
      <c r="R41" s="17">
        <f>_xll.BDH("AMZN US Equity","IS_DIL_EPS_BEF_XO","FQ4 2002","FQ4 2002","Currency=USD","Period=FQ","BEST_FPERIOD_OVERRIDE=FQ","FILING_STATUS=OR","Sort=A","Dates=H","DateFormat=P","Fill=—","Direction=H","UseDPDF=Y")</f>
        <v>0.01</v>
      </c>
      <c r="S41" s="17">
        <f>_xll.BDH("AMZN US Equity","IS_DIL_EPS_BEF_XO","FQ1 2003","FQ1 2003","Currency=USD","Period=FQ","BEST_FPERIOD_OVERRIDE=FQ","FILING_STATUS=OR","Sort=A","Dates=H","DateFormat=P","Fill=—","Direction=H","UseDPDF=Y")</f>
        <v>-0.03</v>
      </c>
      <c r="T41" s="17">
        <f>_xll.BDH("AMZN US Equity","IS_DIL_EPS_BEF_XO","FQ2 2003","FQ2 2003","Currency=USD","Period=FQ","BEST_FPERIOD_OVERRIDE=FQ","FILING_STATUS=OR","Sort=A","Dates=H","DateFormat=P","Fill=—","Direction=H","UseDPDF=Y")</f>
        <v>-0.11</v>
      </c>
      <c r="U41" s="17">
        <f>_xll.BDH("AMZN US Equity","IS_DIL_EPS_BEF_XO","FQ3 2003","FQ3 2003","Currency=USD","Period=FQ","BEST_FPERIOD_OVERRIDE=FQ","FILING_STATUS=OR","Sort=A","Dates=H","DateFormat=P","Fill=—","Direction=H","UseDPDF=Y")</f>
        <v>0.04</v>
      </c>
      <c r="V41" s="17">
        <f>_xll.BDH("AMZN US Equity","IS_DIL_EPS_BEF_XO","FQ4 2003","FQ4 2003","Currency=USD","Period=FQ","BEST_FPERIOD_OVERRIDE=FQ","FILING_STATUS=OR","Sort=A","Dates=H","DateFormat=P","Fill=—","Direction=H","UseDPDF=Y")</f>
        <v>0.17</v>
      </c>
      <c r="W41" s="17">
        <f>_xll.BDH("AMZN US Equity","IS_DIL_EPS_BEF_XO","FQ1 2004","FQ1 2004","Currency=USD","Period=FQ","BEST_FPERIOD_OVERRIDE=FQ","FILING_STATUS=OR","Sort=A","Dates=H","DateFormat=P","Fill=—","Direction=H","UseDPDF=Y")</f>
        <v>0.26</v>
      </c>
      <c r="X41" s="17">
        <f>_xll.BDH("AMZN US Equity","IS_DIL_EPS_BEF_XO","FQ2 2004","FQ2 2004","Currency=USD","Period=FQ","BEST_FPERIOD_OVERRIDE=FQ","FILING_STATUS=OR","Sort=A","Dates=H","DateFormat=P","Fill=—","Direction=H","UseDPDF=Y")</f>
        <v>0.18</v>
      </c>
      <c r="Y41" s="17">
        <f>_xll.BDH("AMZN US Equity","IS_DIL_EPS_BEF_XO","FQ3 2004","FQ3 2004","Currency=USD","Period=FQ","BEST_FPERIOD_OVERRIDE=FQ","FILING_STATUS=OR","Sort=A","Dates=H","DateFormat=P","Fill=—","Direction=H","UseDPDF=Y")</f>
        <v>0.13</v>
      </c>
      <c r="Z41" s="17">
        <f>_xll.BDH("AMZN US Equity","IS_DIL_EPS_BEF_XO","FQ4 2004","FQ4 2004","Currency=USD","Period=FQ","BEST_FPERIOD_OVERRIDE=FQ","FILING_STATUS=OR","Sort=A","Dates=H","DateFormat=P","Fill=—","Direction=H","UseDPDF=Y")</f>
        <v>0.82</v>
      </c>
      <c r="AA41" s="17">
        <f>_xll.BDH("AMZN US Equity","IS_DIL_EPS_BEF_XO","FQ1 2005","FQ1 2005","Currency=USD","Period=FQ","BEST_FPERIOD_OVERRIDE=FQ","FILING_STATUS=OR","Sort=A","Dates=H","DateFormat=P","Fill=—","Direction=H","UseDPDF=Y")</f>
        <v>0.12</v>
      </c>
      <c r="AB41" s="17">
        <f>_xll.BDH("AMZN US Equity","IS_DIL_EPS_BEF_XO","FQ2 2005","FQ2 2005","Currency=USD","Period=FQ","BEST_FPERIOD_OVERRIDE=FQ","FILING_STATUS=OR","Sort=A","Dates=H","DateFormat=P","Fill=—","Direction=H","UseDPDF=Y")</f>
        <v>0.12</v>
      </c>
      <c r="AC41" s="17">
        <f>_xll.BDH("AMZN US Equity","IS_DIL_EPS_BEF_XO","FQ3 2005","FQ3 2005","Currency=USD","Period=FQ","BEST_FPERIOD_OVERRIDE=FQ","FILING_STATUS=OR","Sort=A","Dates=H","DateFormat=P","Fill=—","Direction=H","UseDPDF=Y")</f>
        <v>7.0000000000000007E-2</v>
      </c>
      <c r="AD41" s="17">
        <f>_xll.BDH("AMZN US Equity","IS_DIL_EPS_BEF_XO","FQ4 2005","FQ4 2005","Currency=USD","Period=FQ","BEST_FPERIOD_OVERRIDE=FQ","FILING_STATUS=OR","Sort=A","Dates=H","DateFormat=P","Fill=—","Direction=H","UseDPDF=Y")</f>
        <v>0.47</v>
      </c>
      <c r="AE41" s="17">
        <f>_xll.BDH("AMZN US Equity","IS_DIL_EPS_BEF_XO","FQ1 2006","FQ1 2006","Currency=USD","Period=FQ","BEST_FPERIOD_OVERRIDE=FQ","FILING_STATUS=OR","Sort=A","Dates=H","DateFormat=P","Fill=—","Direction=H","UseDPDF=Y")</f>
        <v>0.12</v>
      </c>
      <c r="AF41" s="17">
        <f>_xll.BDH("AMZN US Equity","IS_DIL_EPS_BEF_XO","FQ2 2006","FQ2 2006","Currency=USD","Period=FQ","BEST_FPERIOD_OVERRIDE=FQ","FILING_STATUS=OR","Sort=A","Dates=H","DateFormat=P","Fill=—","Direction=H","UseDPDF=Y")</f>
        <v>0.05</v>
      </c>
      <c r="AG41" s="17">
        <f>_xll.BDH("AMZN US Equity","IS_DIL_EPS_BEF_XO","FQ3 2006","FQ3 2006","Currency=USD","Period=FQ","BEST_FPERIOD_OVERRIDE=FQ","FILING_STATUS=OR","Sort=A","Dates=H","DateFormat=P","Fill=—","Direction=H","UseDPDF=Y")</f>
        <v>0.05</v>
      </c>
      <c r="AH41" s="17">
        <f>_xll.BDH("AMZN US Equity","IS_DIL_EPS_BEF_XO","FQ4 2006","FQ4 2006","Currency=USD","Period=FQ","BEST_FPERIOD_OVERRIDE=FQ","FILING_STATUS=OR","Sort=A","Dates=H","DateFormat=P","Fill=—","Direction=H","UseDPDF=Y")</f>
        <v>0.23</v>
      </c>
      <c r="AI41" s="17">
        <f>_xll.BDH("AMZN US Equity","IS_DIL_EPS_BEF_XO","FQ1 2007","FQ1 2007","Currency=USD","Period=FQ","BEST_FPERIOD_OVERRIDE=FQ","FILING_STATUS=OR","Sort=A","Dates=H","DateFormat=P","Fill=—","Direction=H","UseDPDF=Y")</f>
        <v>0.26</v>
      </c>
      <c r="AJ41" s="17">
        <f>_xll.BDH("AMZN US Equity","IS_DIL_EPS_BEF_XO","FQ2 2007","FQ2 2007","Currency=USD","Period=FQ","BEST_FPERIOD_OVERRIDE=FQ","FILING_STATUS=OR","Sort=A","Dates=H","DateFormat=P","Fill=—","Direction=H","UseDPDF=Y")</f>
        <v>0.19</v>
      </c>
      <c r="AK41" s="17">
        <f>_xll.BDH("AMZN US Equity","IS_DIL_EPS_BEF_XO","FQ3 2007","FQ3 2007","Currency=USD","Period=FQ","BEST_FPERIOD_OVERRIDE=FQ","FILING_STATUS=OR","Sort=A","Dates=H","DateFormat=P","Fill=—","Direction=H","UseDPDF=Y")</f>
        <v>0.19</v>
      </c>
      <c r="AL41" s="17">
        <f>_xll.BDH("AMZN US Equity","IS_DIL_EPS_BEF_XO","FQ4 2007","FQ4 2007","Currency=USD","Period=FQ","BEST_FPERIOD_OVERRIDE=FQ","FILING_STATUS=OR","Sort=A","Dates=H","DateFormat=P","Fill=—","Direction=H","UseDPDF=Y")</f>
        <v>0.48</v>
      </c>
      <c r="AM41" s="17">
        <f>_xll.BDH("AMZN US Equity","IS_DIL_EPS_BEF_XO","FQ1 2008","FQ1 2008","Currency=USD","Period=FQ","BEST_FPERIOD_OVERRIDE=FQ","FILING_STATUS=OR","Sort=A","Dates=H","DateFormat=P","Fill=—","Direction=H","UseDPDF=Y")</f>
        <v>0.34</v>
      </c>
      <c r="AN41" s="17">
        <f>_xll.BDH("AMZN US Equity","IS_DIL_EPS_BEF_XO","FQ2 2008","FQ2 2008","Currency=USD","Period=FQ","BEST_FPERIOD_OVERRIDE=FQ","FILING_STATUS=OR","Sort=A","Dates=H","DateFormat=P","Fill=—","Direction=H","UseDPDF=Y")</f>
        <v>0.37</v>
      </c>
      <c r="AO41" s="17">
        <f>_xll.BDH("AMZN US Equity","IS_DIL_EPS_BEF_XO","FQ3 2008","FQ3 2008","Currency=USD","Period=FQ","BEST_FPERIOD_OVERRIDE=FQ","FILING_STATUS=OR","Sort=A","Dates=H","DateFormat=P","Fill=—","Direction=H","UseDPDF=Y")</f>
        <v>0.27</v>
      </c>
      <c r="AP41" s="17">
        <f>_xll.BDH("AMZN US Equity","IS_DIL_EPS_BEF_XO","FQ4 2008","FQ4 2008","Currency=USD","Period=FQ","BEST_FPERIOD_OVERRIDE=FQ","FILING_STATUS=OR","Sort=A","Dates=H","DateFormat=P","Fill=—","Direction=H","UseDPDF=Y")</f>
        <v>0.52</v>
      </c>
    </row>
    <row r="42" spans="1:42" x14ac:dyDescent="0.25">
      <c r="A42" s="6" t="s">
        <v>149</v>
      </c>
      <c r="B42" s="6" t="s">
        <v>150</v>
      </c>
      <c r="C42" s="17">
        <f>_xll.BDH("AMZN US Equity","IS_DIL_EPS_CONT_OPS","FQ4 1998","FQ4 1998","Currency=USD","Period=FQ","BEST_FPERIOD_OVERRIDE=FQ","FILING_STATUS=OR","Sort=A","Dates=H","DateFormat=P","Fill=—","Direction=H","UseDPDF=Y")</f>
        <v>-7.0000000000000007E-2</v>
      </c>
      <c r="D42" s="17">
        <f>_xll.BDH("AMZN US Equity","IS_DIL_EPS_CONT_OPS","FQ1 1999","FQ1 1999","Currency=USD","Period=FQ","BEST_FPERIOD_OVERRIDE=FQ","FILING_STATUS=OR","Sort=A","Dates=H","DateFormat=P","Fill=—","Direction=H","UseDPDF=Y")</f>
        <v>-0.115</v>
      </c>
      <c r="E42" s="17">
        <f>_xll.BDH("AMZN US Equity","IS_DIL_EPS_CONT_OPS","FQ2 1999","FQ2 1999","Currency=USD","Period=FQ","BEST_FPERIOD_OVERRIDE=FQ","FILING_STATUS=OR","Sort=A","Dates=H","DateFormat=P","Fill=—","Direction=H","UseDPDF=Y")</f>
        <v>-0.255</v>
      </c>
      <c r="F42" s="17">
        <f>_xll.BDH("AMZN US Equity","IS_DIL_EPS_CONT_OPS","FQ3 1999","FQ3 1999","Currency=USD","Period=FQ","BEST_FPERIOD_OVERRIDE=FQ","FILING_STATUS=OR","Sort=A","Dates=H","DateFormat=P","Fill=—","Direction=H","UseDPDF=Y")</f>
        <v>-0.26</v>
      </c>
      <c r="G42" s="17">
        <f>_xll.BDH("AMZN US Equity","IS_DIL_EPS_CONT_OPS","FQ4 1999","FQ4 1999","Currency=USD","Period=FQ","BEST_FPERIOD_OVERRIDE=FQ","FILING_STATUS=OR","Sort=A","Dates=H","DateFormat=P","Fill=—","Direction=H","UseDPDF=Y")</f>
        <v>-0.55000000000000004</v>
      </c>
      <c r="H42" s="17">
        <f>_xll.BDH("AMZN US Equity","IS_DIL_EPS_CONT_OPS","FQ1 2000","FQ1 2000","Currency=USD","Period=FQ","BEST_FPERIOD_OVERRIDE=FQ","FILING_STATUS=OR","Sort=A","Dates=H","DateFormat=P","Fill=—","Direction=H","UseDPDF=Y")</f>
        <v>-0.35</v>
      </c>
      <c r="I42" s="17">
        <f>_xll.BDH("AMZN US Equity","IS_DIL_EPS_CONT_OPS","FQ3 2000","FQ3 2000","Currency=USD","Period=FQ","BEST_FPERIOD_OVERRIDE=FQ","FILING_STATUS=OR","Sort=A","Dates=H","DateFormat=P","Fill=—","Direction=H","UseDPDF=Y")</f>
        <v>-0.25</v>
      </c>
      <c r="J42" s="17">
        <f>_xll.BDH("AMZN US Equity","IS_DIL_EPS_CONT_OPS","FQ4 2000","FQ4 2000","Currency=USD","Period=FQ","BEST_FPERIOD_OVERRIDE=FQ","FILING_STATUS=OR","Sort=A","Dates=H","DateFormat=P","Fill=—","Direction=H","UseDPDF=Y")</f>
        <v>-0.25</v>
      </c>
      <c r="K42" s="17">
        <f>_xll.BDH("AMZN US Equity","IS_DIL_EPS_CONT_OPS","FQ1 2001","FQ1 2001","Currency=USD","Period=FQ","BEST_FPERIOD_OVERRIDE=FQ","FILING_STATUS=OR","Sort=A","Dates=H","DateFormat=P","Fill=—","Direction=H","UseDPDF=Y")</f>
        <v>-0.21</v>
      </c>
      <c r="L42" s="17">
        <f>_xll.BDH("AMZN US Equity","IS_DIL_EPS_CONT_OPS","FQ2 2001","FQ2 2001","Currency=USD","Period=FQ","BEST_FPERIOD_OVERRIDE=FQ","FILING_STATUS=OR","Sort=A","Dates=H","DateFormat=P","Fill=—","Direction=H","UseDPDF=Y")</f>
        <v>-0.16</v>
      </c>
      <c r="M42" s="17">
        <f>_xll.BDH("AMZN US Equity","IS_DIL_EPS_CONT_OPS","FQ3 2001","FQ3 2001","Currency=USD","Period=FQ","BEST_FPERIOD_OVERRIDE=FQ","FILING_STATUS=OR","Sort=A","Dates=H","DateFormat=P","Fill=—","Direction=H","UseDPDF=Y")</f>
        <v>-0.46</v>
      </c>
      <c r="N42" s="17">
        <f>_xll.BDH("AMZN US Equity","IS_DIL_EPS_CONT_OPS","FQ4 2001","FQ4 2001","Currency=USD","Period=FQ","BEST_FPERIOD_OVERRIDE=FQ","FILING_STATUS=OR","Sort=A","Dates=H","DateFormat=P","Fill=—","Direction=H","UseDPDF=Y")</f>
        <v>0.09</v>
      </c>
      <c r="O42" s="17">
        <f>_xll.BDH("AMZN US Equity","IS_DIL_EPS_CONT_OPS","FQ1 2002","FQ1 2002","Currency=USD","Period=FQ","BEST_FPERIOD_OVERRIDE=FQ","FILING_STATUS=OR","Sort=A","Dates=H","DateFormat=P","Fill=—","Direction=H","UseDPDF=Y")</f>
        <v>-0.01</v>
      </c>
      <c r="P42" s="17">
        <f>_xll.BDH("AMZN US Equity","IS_DIL_EPS_CONT_OPS","FQ2 2002","FQ2 2002","Currency=USD","Period=FQ","BEST_FPERIOD_OVERRIDE=FQ","FILING_STATUS=OR","Sort=A","Dates=H","DateFormat=P","Fill=—","Direction=H","UseDPDF=Y")</f>
        <v>-0.01</v>
      </c>
      <c r="Q42" s="17">
        <f>_xll.BDH("AMZN US Equity","IS_DIL_EPS_CONT_OPS","FQ3 2002","FQ3 2002","Currency=USD","Period=FQ","BEST_FPERIOD_OVERRIDE=FQ","FILING_STATUS=OR","Sort=A","Dates=H","DateFormat=P","Fill=—","Direction=H","UseDPDF=Y")</f>
        <v>0</v>
      </c>
      <c r="R42" s="17">
        <f>_xll.BDH("AMZN US Equity","IS_DIL_EPS_CONT_OPS","FQ4 2002","FQ4 2002","Currency=USD","Period=FQ","BEST_FPERIOD_OVERRIDE=FQ","FILING_STATUS=OR","Sort=A","Dates=H","DateFormat=P","Fill=—","Direction=H","UseDPDF=Y")</f>
        <v>0.19</v>
      </c>
      <c r="S42" s="17">
        <f>_xll.BDH("AMZN US Equity","IS_DIL_EPS_CONT_OPS","FQ1 2003","FQ1 2003","Currency=USD","Period=FQ","BEST_FPERIOD_OVERRIDE=FQ","FILING_STATUS=OR","Sort=A","Dates=H","DateFormat=P","Fill=—","Direction=H","UseDPDF=Y")</f>
        <v>0.1</v>
      </c>
      <c r="T42" s="17">
        <f>_xll.BDH("AMZN US Equity","IS_DIL_EPS_CONT_OPS","FQ2 2003","FQ2 2003","Currency=USD","Period=FQ","BEST_FPERIOD_OVERRIDE=FQ","FILING_STATUS=OR","Sort=A","Dates=H","DateFormat=P","Fill=—","Direction=H","UseDPDF=Y")</f>
        <v>0.1</v>
      </c>
      <c r="U42" s="17">
        <f>_xll.BDH("AMZN US Equity","IS_DIL_EPS_CONT_OPS","FQ3 2003","FQ3 2003","Currency=USD","Period=FQ","BEST_FPERIOD_OVERRIDE=FQ","FILING_STATUS=OR","Sort=A","Dates=H","DateFormat=P","Fill=—","Direction=H","UseDPDF=Y")</f>
        <v>0.11</v>
      </c>
      <c r="V42" s="17">
        <f>_xll.BDH("AMZN US Equity","IS_DIL_EPS_CONT_OPS","FQ4 2003","FQ4 2003","Currency=USD","Period=FQ","BEST_FPERIOD_OVERRIDE=FQ","FILING_STATUS=OR","Sort=A","Dates=H","DateFormat=P","Fill=—","Direction=H","UseDPDF=Y")</f>
        <v>0.28999999999999998</v>
      </c>
      <c r="W42" s="17">
        <f>_xll.BDH("AMZN US Equity","IS_DIL_EPS_CONT_OPS","FQ1 2004","FQ1 2004","Currency=USD","Period=FQ","BEST_FPERIOD_OVERRIDE=FQ","FILING_STATUS=OR","Sort=A","Dates=H","DateFormat=P","Fill=—","Direction=H","UseDPDF=Y")</f>
        <v>0.23</v>
      </c>
      <c r="X42" s="17">
        <f>_xll.BDH("AMZN US Equity","IS_DIL_EPS_CONT_OPS","FQ2 2004","FQ2 2004","Currency=USD","Period=FQ","BEST_FPERIOD_OVERRIDE=FQ","FILING_STATUS=OR","Sort=A","Dates=H","DateFormat=P","Fill=—","Direction=H","UseDPDF=Y")</f>
        <v>0.18</v>
      </c>
      <c r="Y42" s="17">
        <f>_xll.BDH("AMZN US Equity","IS_DIL_EPS_CONT_OPS","FQ3 2004","FQ3 2004","Currency=USD","Period=FQ","BEST_FPERIOD_OVERRIDE=FQ","FILING_STATUS=OR","Sort=A","Dates=H","DateFormat=P","Fill=—","Direction=H","UseDPDF=Y")</f>
        <v>0.17</v>
      </c>
      <c r="Z42" s="17">
        <f>_xll.BDH("AMZN US Equity","IS_DIL_EPS_CONT_OPS","FQ4 2004","FQ4 2004","Currency=USD","Period=FQ","BEST_FPERIOD_OVERRIDE=FQ","FILING_STATUS=OR","Sort=A","Dates=H","DateFormat=P","Fill=—","Direction=H","UseDPDF=Y")</f>
        <v>0.35</v>
      </c>
      <c r="AA42" s="17">
        <f>_xll.BDH("AMZN US Equity","IS_DIL_EPS_CONT_OPS","FQ1 2005","FQ1 2005","Currency=USD","Period=FQ","BEST_FPERIOD_OVERRIDE=FQ","FILING_STATUS=OR","Sort=A","Dates=H","DateFormat=P","Fill=—","Direction=H","UseDPDF=Y")</f>
        <v>0.12</v>
      </c>
      <c r="AB42" s="17">
        <f>_xll.BDH("AMZN US Equity","IS_DIL_EPS_CONT_OPS","FQ2 2005","FQ2 2005","Currency=USD","Period=FQ","BEST_FPERIOD_OVERRIDE=FQ","FILING_STATUS=OR","Sort=A","Dates=H","DateFormat=P","Fill=—","Direction=H","UseDPDF=Y")</f>
        <v>0.12</v>
      </c>
      <c r="AC42" s="17">
        <f>_xll.BDH("AMZN US Equity","IS_DIL_EPS_CONT_OPS","FQ3 2005","FQ3 2005","Currency=USD","Period=FQ","BEST_FPERIOD_OVERRIDE=FQ","FILING_STATUS=OR","Sort=A","Dates=H","DateFormat=P","Fill=—","Direction=H","UseDPDF=Y")</f>
        <v>0.13</v>
      </c>
      <c r="AD42" s="17">
        <f>_xll.BDH("AMZN US Equity","IS_DIL_EPS_CONT_OPS","FQ4 2005","FQ4 2005","Currency=USD","Period=FQ","BEST_FPERIOD_OVERRIDE=FQ","FILING_STATUS=OR","Sort=A","Dates=H","DateFormat=P","Fill=—","Direction=H","UseDPDF=Y")</f>
        <v>0.26</v>
      </c>
      <c r="AE42" s="17">
        <f>_xll.BDH("AMZN US Equity","IS_DIL_EPS_CONT_OPS","FQ1 2006","FQ1 2006","Currency=USD","Period=FQ","BEST_FPERIOD_OVERRIDE=FQ","FILING_STATUS=OR","Sort=A","Dates=H","DateFormat=P","Fill=—","Direction=H","UseDPDF=Y")</f>
        <v>0.12</v>
      </c>
      <c r="AF42" s="17">
        <f>_xll.BDH("AMZN US Equity","IS_DIL_EPS_CONT_OPS","FQ2 2006","FQ2 2006","Currency=USD","Period=FQ","BEST_FPERIOD_OVERRIDE=FQ","FILING_STATUS=OR","Sort=A","Dates=H","DateFormat=P","Fill=—","Direction=H","UseDPDF=Y")</f>
        <v>0.05</v>
      </c>
      <c r="AG42" s="17">
        <f>_xll.BDH("AMZN US Equity","IS_DIL_EPS_CONT_OPS","FQ3 2006","FQ3 2006","Currency=USD","Period=FQ","BEST_FPERIOD_OVERRIDE=FQ","FILING_STATUS=OR","Sort=A","Dates=H","DateFormat=P","Fill=—","Direction=H","UseDPDF=Y")</f>
        <v>0.05</v>
      </c>
      <c r="AH42" s="17">
        <f>_xll.BDH("AMZN US Equity","IS_DIL_EPS_CONT_OPS","FQ4 2006","FQ4 2006","Currency=USD","Period=FQ","BEST_FPERIOD_OVERRIDE=FQ","FILING_STATUS=OR","Sort=A","Dates=H","DateFormat=P","Fill=—","Direction=H","UseDPDF=Y")</f>
        <v>0.23</v>
      </c>
      <c r="AI42" s="17">
        <f>_xll.BDH("AMZN US Equity","IS_DIL_EPS_CONT_OPS","FQ1 2007","FQ1 2007","Currency=USD","Period=FQ","BEST_FPERIOD_OVERRIDE=FQ","FILING_STATUS=OR","Sort=A","Dates=H","DateFormat=P","Fill=—","Direction=H","UseDPDF=Y")</f>
        <v>0.26</v>
      </c>
      <c r="AJ42" s="17">
        <f>_xll.BDH("AMZN US Equity","IS_DIL_EPS_CONT_OPS","FQ2 2007","FQ2 2007","Currency=USD","Period=FQ","BEST_FPERIOD_OVERRIDE=FQ","FILING_STATUS=OR","Sort=A","Dates=H","DateFormat=P","Fill=—","Direction=H","UseDPDF=Y")</f>
        <v>0.19</v>
      </c>
      <c r="AK42" s="17">
        <f>_xll.BDH("AMZN US Equity","IS_DIL_EPS_CONT_OPS","FQ3 2007","FQ3 2007","Currency=USD","Period=FQ","BEST_FPERIOD_OVERRIDE=FQ","FILING_STATUS=OR","Sort=A","Dates=H","DateFormat=P","Fill=—","Direction=H","UseDPDF=Y")</f>
        <v>0.19</v>
      </c>
      <c r="AL42" s="17">
        <f>_xll.BDH("AMZN US Equity","IS_DIL_EPS_CONT_OPS","FQ4 2007","FQ4 2007","Currency=USD","Period=FQ","BEST_FPERIOD_OVERRIDE=FQ","FILING_STATUS=OR","Sort=A","Dates=H","DateFormat=P","Fill=—","Direction=H","UseDPDF=Y")</f>
        <v>0.48</v>
      </c>
      <c r="AM42" s="17">
        <f>_xll.BDH("AMZN US Equity","IS_DIL_EPS_CONT_OPS","FQ1 2008","FQ1 2008","Currency=USD","Period=FQ","BEST_FPERIOD_OVERRIDE=FQ","FILING_STATUS=OR","Sort=A","Dates=H","DateFormat=P","Fill=—","Direction=H","UseDPDF=Y")</f>
        <v>0.34</v>
      </c>
      <c r="AN42" s="17">
        <f>_xll.BDH("AMZN US Equity","IS_DIL_EPS_CONT_OPS","FQ2 2008","FQ2 2008","Currency=USD","Period=FQ","BEST_FPERIOD_OVERRIDE=FQ","FILING_STATUS=OR","Sort=A","Dates=H","DateFormat=P","Fill=—","Direction=H","UseDPDF=Y")</f>
        <v>0.27</v>
      </c>
      <c r="AO42" s="17">
        <f>_xll.BDH("AMZN US Equity","IS_DIL_EPS_CONT_OPS","FQ3 2008","FQ3 2008","Currency=USD","Period=FQ","BEST_FPERIOD_OVERRIDE=FQ","FILING_STATUS=OR","Sort=A","Dates=H","DateFormat=P","Fill=—","Direction=H","UseDPDF=Y")</f>
        <v>0.27</v>
      </c>
      <c r="AP42" s="17">
        <f>_xll.BDH("AMZN US Equity","IS_DIL_EPS_CONT_OPS","FQ4 2008","FQ4 2008","Currency=USD","Period=FQ","BEST_FPERIOD_OVERRIDE=FQ","FILING_STATUS=OR","Sort=A","Dates=H","DateFormat=P","Fill=—","Direction=H","UseDPDF=Y")</f>
        <v>0.52</v>
      </c>
    </row>
    <row r="43" spans="1:42" x14ac:dyDescent="0.25">
      <c r="A43" s="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5">
      <c r="A44" s="6" t="s">
        <v>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x14ac:dyDescent="0.25">
      <c r="A45" s="10" t="s">
        <v>151</v>
      </c>
      <c r="B45" s="10" t="s">
        <v>152</v>
      </c>
      <c r="C45" s="12" t="s">
        <v>153</v>
      </c>
      <c r="D45" s="12" t="s">
        <v>153</v>
      </c>
      <c r="E45" s="12" t="s">
        <v>153</v>
      </c>
      <c r="F45" s="12" t="s">
        <v>153</v>
      </c>
      <c r="G45" s="12" t="s">
        <v>153</v>
      </c>
      <c r="H45" s="12" t="s">
        <v>153</v>
      </c>
      <c r="I45" s="12" t="s">
        <v>153</v>
      </c>
      <c r="J45" s="12" t="s">
        <v>153</v>
      </c>
      <c r="K45" s="12" t="s">
        <v>153</v>
      </c>
      <c r="L45" s="12" t="s">
        <v>153</v>
      </c>
      <c r="M45" s="12" t="s">
        <v>153</v>
      </c>
      <c r="N45" s="12" t="s">
        <v>153</v>
      </c>
      <c r="O45" s="12" t="s">
        <v>153</v>
      </c>
      <c r="P45" s="12" t="s">
        <v>153</v>
      </c>
      <c r="Q45" s="12" t="s">
        <v>153</v>
      </c>
      <c r="R45" s="12" t="s">
        <v>153</v>
      </c>
      <c r="S45" s="12" t="s">
        <v>153</v>
      </c>
      <c r="T45" s="12" t="s">
        <v>153</v>
      </c>
      <c r="U45" s="12" t="s">
        <v>153</v>
      </c>
      <c r="V45" s="12" t="s">
        <v>153</v>
      </c>
      <c r="W45" s="12" t="s">
        <v>153</v>
      </c>
      <c r="X45" s="12" t="s">
        <v>153</v>
      </c>
      <c r="Y45" s="12" t="s">
        <v>153</v>
      </c>
      <c r="Z45" s="12" t="s">
        <v>153</v>
      </c>
      <c r="AA45" s="12" t="s">
        <v>153</v>
      </c>
      <c r="AB45" s="12" t="s">
        <v>153</v>
      </c>
      <c r="AC45" s="12" t="s">
        <v>153</v>
      </c>
      <c r="AD45" s="12" t="s">
        <v>153</v>
      </c>
      <c r="AE45" s="12" t="s">
        <v>153</v>
      </c>
      <c r="AF45" s="12" t="s">
        <v>153</v>
      </c>
      <c r="AG45" s="12" t="s">
        <v>153</v>
      </c>
      <c r="AH45" s="12" t="s">
        <v>153</v>
      </c>
      <c r="AI45" s="12" t="s">
        <v>153</v>
      </c>
      <c r="AJ45" s="12" t="s">
        <v>153</v>
      </c>
      <c r="AK45" s="12" t="s">
        <v>153</v>
      </c>
      <c r="AL45" s="12" t="s">
        <v>153</v>
      </c>
      <c r="AM45" s="12" t="s">
        <v>153</v>
      </c>
      <c r="AN45" s="12" t="s">
        <v>153</v>
      </c>
      <c r="AO45" s="12" t="s">
        <v>153</v>
      </c>
      <c r="AP45" s="12" t="s">
        <v>153</v>
      </c>
    </row>
    <row r="46" spans="1:42" x14ac:dyDescent="0.25">
      <c r="A46" s="10" t="s">
        <v>154</v>
      </c>
      <c r="B46" s="10" t="s">
        <v>154</v>
      </c>
      <c r="C46" s="13">
        <f>_xll.BDH("AMZN US Equity","EBITDA","FQ4 1998","FQ4 1998","Currency=USD","Period=FQ","BEST_FPERIOD_OVERRIDE=FQ","FILING_STATUS=OR","SCALING_FORMAT=MLN","FA_ADJUSTED=Adjusted","Sort=A","Dates=H","DateFormat=P","Fill=—","Direction=H","UseDPDF=Y")</f>
        <v>-10.66</v>
      </c>
      <c r="D46" s="13">
        <f>_xll.BDH("AMZN US Equity","EBITDA","FQ1 1999","FQ1 1999","Currency=USD","Period=FQ","BEST_FPERIOD_OVERRIDE=FQ","FILING_STATUS=OR","SCALING_FORMAT=MLN","FA_ADJUSTED=Adjusted","Sort=A","Dates=H","DateFormat=P","Fill=—","Direction=H","UseDPDF=Y")</f>
        <v>-46.356000000000002</v>
      </c>
      <c r="E46" s="13">
        <f>_xll.BDH("AMZN US Equity","EBITDA","FQ2 1999","FQ2 1999","Currency=USD","Period=FQ","BEST_FPERIOD_OVERRIDE=FQ","FILING_STATUS=OR","SCALING_FORMAT=MLN","FA_ADJUSTED=Adjusted","Sort=A","Dates=H","DateFormat=P","Fill=—","Direction=H","UseDPDF=Y")</f>
        <v>-100.96899999999999</v>
      </c>
      <c r="F46" s="13">
        <f>_xll.BDH("AMZN US Equity","EBITDA","FQ3 1999","FQ3 1999","Currency=USD","Period=FQ","BEST_FPERIOD_OVERRIDE=FQ","FILING_STATUS=OR","SCALING_FORMAT=MLN","FA_ADJUSTED=Adjusted","Sort=A","Dates=H","DateFormat=P","Fill=—","Direction=H","UseDPDF=Y")</f>
        <v>-69.587999999999994</v>
      </c>
      <c r="G46" s="13">
        <f>_xll.BDH("AMZN US Equity","EBITDA","FQ4 1999","FQ4 1999","Currency=USD","Period=FQ","BEST_FPERIOD_OVERRIDE=FQ","FILING_STATUS=OR","SCALING_FORMAT=MLN","FA_ADJUSTED=Adjusted","Sort=A","Dates=H","DateFormat=P","Fill=—","Direction=H","UseDPDF=Y")</f>
        <v>90.870999999999995</v>
      </c>
      <c r="H46" s="13">
        <f>_xll.BDH("AMZN US Equity","EBITDA","FQ1 2000","FQ1 2000","Currency=USD","Period=FQ","BEST_FPERIOD_OVERRIDE=FQ","FILING_STATUS=OR","SCALING_FORMAT=MLN","FA_ADJUSTED=Adjusted","Sort=A","Dates=H","DateFormat=P","Fill=—","Direction=H","UseDPDF=Y")</f>
        <v>-81.085999999999999</v>
      </c>
      <c r="I46" s="13">
        <f>_xll.BDH("AMZN US Equity","EBITDA","FQ3 2000","FQ3 2000","Currency=USD","Period=FQ","BEST_FPERIOD_OVERRIDE=FQ","FILING_STATUS=OR","SCALING_FORMAT=MLN","FA_ADJUSTED=Adjusted","Sort=A","Dates=H","DateFormat=P","Fill=—","Direction=H","UseDPDF=Y")</f>
        <v>-45.582000000000001</v>
      </c>
      <c r="J46" s="13">
        <f>_xll.BDH("AMZN US Equity","EBITDA","FQ4 2000","FQ4 2000","Currency=USD","Period=FQ","BEST_FPERIOD_OVERRIDE=FQ","FILING_STATUS=OR","SCALING_FORMAT=MLN","FA_ADJUSTED=Adjusted","Sort=A","Dates=H","DateFormat=P","Fill=—","Direction=H","UseDPDF=Y")</f>
        <v>-62.002000000000002</v>
      </c>
      <c r="K46" s="13">
        <f>_xll.BDH("AMZN US Equity","EBITDA","FQ1 2001","FQ1 2001","Currency=USD","Period=FQ","BEST_FPERIOD_OVERRIDE=FQ","FILING_STATUS=OR","SCALING_FORMAT=MLN","FA_ADJUSTED=Adjusted","Sort=A","Dates=H","DateFormat=P","Fill=—","Direction=H","UseDPDF=Y")</f>
        <v>-28.443999999999999</v>
      </c>
      <c r="L46" s="13">
        <f>_xll.BDH("AMZN US Equity","EBITDA","FQ2 2001","FQ2 2001","Currency=USD","Period=FQ","BEST_FPERIOD_OVERRIDE=FQ","FILING_STATUS=OR","SCALING_FORMAT=MLN","FA_ADJUSTED=Adjusted","Sort=A","Dates=H","DateFormat=P","Fill=—","Direction=H","UseDPDF=Y")</f>
        <v>-9.5660000000000007</v>
      </c>
      <c r="M46" s="13">
        <f>_xll.BDH("AMZN US Equity","EBITDA","FQ3 2001","FQ3 2001","Currency=USD","Period=FQ","BEST_FPERIOD_OVERRIDE=FQ","FILING_STATUS=OR","SCALING_FORMAT=MLN","FA_ADJUSTED=Adjusted","Sort=A","Dates=H","DateFormat=P","Fill=—","Direction=H","UseDPDF=Y")</f>
        <v>-4.71</v>
      </c>
      <c r="N46" s="13">
        <f>_xll.BDH("AMZN US Equity","EBITDA","FQ4 2001","FQ4 2001","Currency=USD","Period=FQ","BEST_FPERIOD_OVERRIDE=FQ","FILING_STATUS=OR","SCALING_FORMAT=MLN","FA_ADJUSTED=Adjusted","Sort=A","Dates=H","DateFormat=P","Fill=—","Direction=H","UseDPDF=Y")</f>
        <v>80.356999999999999</v>
      </c>
      <c r="O46" s="13">
        <f>_xll.BDH("AMZN US Equity","EBITDA","FQ1 2002","FQ1 2002","Currency=USD","Period=FQ","BEST_FPERIOD_OVERRIDE=FQ","FILING_STATUS=OR","SCALING_FORMAT=MLN","FA_ADJUSTED=Adjusted","Sort=A","Dates=H","DateFormat=P","Fill=—","Direction=H","UseDPDF=Y")</f>
        <v>34.658000000000001</v>
      </c>
      <c r="P46" s="13">
        <f>_xll.BDH("AMZN US Equity","EBITDA","FQ2 2002","FQ2 2002","Currency=USD","Period=FQ","BEST_FPERIOD_OVERRIDE=FQ","FILING_STATUS=OR","SCALING_FORMAT=MLN","FA_ADJUSTED=Adjusted","Sort=A","Dates=H","DateFormat=P","Fill=—","Direction=H","UseDPDF=Y")</f>
        <v>23.815999999999999</v>
      </c>
      <c r="Q46" s="13">
        <f>_xll.BDH("AMZN US Equity","EBITDA","FQ3 2002","FQ3 2002","Currency=USD","Period=FQ","BEST_FPERIOD_OVERRIDE=FQ","FILING_STATUS=OR","SCALING_FORMAT=MLN","FA_ADJUSTED=Adjusted","Sort=A","Dates=H","DateFormat=P","Fill=—","Direction=H","UseDPDF=Y")</f>
        <v>48.825000000000003</v>
      </c>
      <c r="R46" s="13">
        <f>_xll.BDH("AMZN US Equity","EBITDA","FQ4 2002","FQ4 2002","Currency=USD","Period=FQ","BEST_FPERIOD_OVERRIDE=FQ","FILING_STATUS=OR","SCALING_FORMAT=MLN","FA_ADJUSTED=Adjusted","Sort=A","Dates=H","DateFormat=P","Fill=—","Direction=H","UseDPDF=Y")</f>
        <v>86.141000000000005</v>
      </c>
      <c r="S46" s="13">
        <f>_xll.BDH("AMZN US Equity","EBITDA","FQ1 2003","FQ1 2003","Currency=USD","Period=FQ","BEST_FPERIOD_OVERRIDE=FQ","FILING_STATUS=OR","SCALING_FORMAT=MLN","FA_ADJUSTED=Adjusted","Sort=A","Dates=H","DateFormat=P","Fill=—","Direction=H","UseDPDF=Y")</f>
        <v>58.975000000000001</v>
      </c>
      <c r="T46" s="13">
        <f>_xll.BDH("AMZN US Equity","EBITDA","FQ2 2003","FQ2 2003","Currency=USD","Period=FQ","BEST_FPERIOD_OVERRIDE=FQ","FILING_STATUS=OR","SCALING_FORMAT=MLN","FA_ADJUSTED=Adjusted","Sort=A","Dates=H","DateFormat=P","Fill=—","Direction=H","UseDPDF=Y")</f>
        <v>60.826000000000001</v>
      </c>
      <c r="U46" s="13">
        <f>_xll.BDH("AMZN US Equity","EBITDA","FQ3 2003","FQ3 2003","Currency=USD","Period=FQ","BEST_FPERIOD_OVERRIDE=FQ","FILING_STATUS=OR","SCALING_FORMAT=MLN","FA_ADJUSTED=Adjusted","Sort=A","Dates=H","DateFormat=P","Fill=—","Direction=H","UseDPDF=Y")</f>
        <v>70.269000000000005</v>
      </c>
      <c r="V46" s="13">
        <f>_xll.BDH("AMZN US Equity","EBITDA","FQ4 2003","FQ4 2003","Currency=USD","Period=FQ","BEST_FPERIOD_OVERRIDE=FQ","FILING_STATUS=OR","SCALING_FORMAT=MLN","FA_ADJUSTED=Adjusted","Sort=A","Dates=H","DateFormat=P","Fill=—","Direction=H","UseDPDF=Y")</f>
        <v>156.364</v>
      </c>
      <c r="W46" s="13">
        <f>_xll.BDH("AMZN US Equity","EBITDA","FQ1 2004","FQ1 2004","Currency=USD","Period=FQ","BEST_FPERIOD_OVERRIDE=FQ","FILING_STATUS=OR","SCALING_FORMAT=MLN","FA_ADJUSTED=Adjusted","Sort=A","Dates=H","DateFormat=P","Fill=—","Direction=H","UseDPDF=Y")</f>
        <v>128.11600000000001</v>
      </c>
      <c r="X46" s="13">
        <f>_xll.BDH("AMZN US Equity","EBITDA","FQ2 2004","FQ2 2004","Currency=USD","Period=FQ","BEST_FPERIOD_OVERRIDE=FQ","FILING_STATUS=OR","SCALING_FORMAT=MLN","FA_ADJUSTED=Adjusted","Sort=A","Dates=H","DateFormat=P","Fill=—","Direction=H","UseDPDF=Y")</f>
        <v>97.253</v>
      </c>
      <c r="Y46" s="13">
        <f>_xll.BDH("AMZN US Equity","EBITDA","FQ3 2004","FQ3 2004","Currency=USD","Period=FQ","BEST_FPERIOD_OVERRIDE=FQ","FILING_STATUS=OR","SCALING_FORMAT=MLN","FA_ADJUSTED=Adjusted","Sort=A","Dates=H","DateFormat=P","Fill=—","Direction=H","UseDPDF=Y")</f>
        <v>100.357</v>
      </c>
      <c r="Z46" s="13">
        <f>_xll.BDH("AMZN US Equity","EBITDA","FQ4 2004","FQ4 2004","Currency=USD","Period=FQ","BEST_FPERIOD_OVERRIDE=FQ","FILING_STATUS=OR","SCALING_FORMAT=MLN","FA_ADJUSTED=Adjusted","Sort=A","Dates=H","DateFormat=P","Fill=—","Direction=H","UseDPDF=Y")</f>
        <v>190.423</v>
      </c>
      <c r="AA46" s="13">
        <f>_xll.BDH("AMZN US Equity","EBITDA","FQ1 2005","FQ1 2005","Currency=USD","Period=FQ","BEST_FPERIOD_OVERRIDE=FQ","FILING_STATUS=OR","SCALING_FORMAT=MLN","FA_ADJUSTED=Adjusted","Sort=A","Dates=H","DateFormat=P","Fill=—","Direction=H","UseDPDF=Y")</f>
        <v>136</v>
      </c>
      <c r="AB46" s="13">
        <f>_xll.BDH("AMZN US Equity","EBITDA","FQ2 2005","FQ2 2005","Currency=USD","Period=FQ","BEST_FPERIOD_OVERRIDE=FQ","FILING_STATUS=OR","SCALING_FORMAT=MLN","FA_ADJUSTED=Adjusted","Sort=A","Dates=H","DateFormat=P","Fill=—","Direction=H","UseDPDF=Y")</f>
        <v>130</v>
      </c>
      <c r="AC46" s="13">
        <f>_xll.BDH("AMZN US Equity","EBITDA","FQ3 2005","FQ3 2005","Currency=USD","Period=FQ","BEST_FPERIOD_OVERRIDE=FQ","FILING_STATUS=OR","SCALING_FORMAT=MLN","FA_ADJUSTED=Adjusted","Sort=A","Dates=H","DateFormat=P","Fill=—","Direction=H","UseDPDF=Y")</f>
        <v>85</v>
      </c>
      <c r="AD46" s="13">
        <f>_xll.BDH("AMZN US Equity","EBITDA","FQ4 2005","FQ4 2005","Currency=USD","Period=FQ","BEST_FPERIOD_OVERRIDE=FQ","FILING_STATUS=OR","SCALING_FORMAT=MLN","FA_ADJUSTED=Adjusted","Sort=A","Dates=H","DateFormat=P","Fill=—","Direction=H","UseDPDF=Y")</f>
        <v>202</v>
      </c>
      <c r="AE46" s="13">
        <f>_xll.BDH("AMZN US Equity","EBITDA","FQ1 2006","FQ1 2006","Currency=USD","Period=FQ","BEST_FPERIOD_OVERRIDE=FQ","FILING_STATUS=OR","SCALING_FORMAT=MLN","FA_ADJUSTED=Adjusted","Sort=A","Dates=H","DateFormat=P","Fill=—","Direction=H","UseDPDF=Y")</f>
        <v>146</v>
      </c>
      <c r="AF46" s="13">
        <f>_xll.BDH("AMZN US Equity","EBITDA","FQ2 2006","FQ2 2006","Currency=USD","Period=FQ","BEST_FPERIOD_OVERRIDE=FQ","FILING_STATUS=OR","SCALING_FORMAT=MLN","FA_ADJUSTED=Adjusted","Sort=A","Dates=H","DateFormat=P","Fill=—","Direction=H","UseDPDF=Y")</f>
        <v>90</v>
      </c>
      <c r="AG46" s="13">
        <f>_xll.BDH("AMZN US Equity","EBITDA","FQ3 2006","FQ3 2006","Currency=USD","Period=FQ","BEST_FPERIOD_OVERRIDE=FQ","FILING_STATUS=OR","SCALING_FORMAT=MLN","FA_ADJUSTED=Adjusted","Sort=A","Dates=H","DateFormat=P","Fill=—","Direction=H","UseDPDF=Y")</f>
        <v>103</v>
      </c>
      <c r="AH46" s="13">
        <f>_xll.BDH("AMZN US Equity","EBITDA","FQ4 2006","FQ4 2006","Currency=USD","Period=FQ","BEST_FPERIOD_OVERRIDE=FQ","FILING_STATUS=OR","SCALING_FORMAT=MLN","FA_ADJUSTED=Adjusted","Sort=A","Dates=H","DateFormat=P","Fill=—","Direction=H","UseDPDF=Y")</f>
        <v>255</v>
      </c>
      <c r="AI46" s="13">
        <f>_xll.BDH("AMZN US Equity","EBITDA","FQ1 2007","FQ1 2007","Currency=USD","Period=FQ","BEST_FPERIOD_OVERRIDE=FQ","FILING_STATUS=OR","SCALING_FORMAT=MLN","FA_ADJUSTED=Adjusted","Sort=A","Dates=H","DateFormat=P","Fill=—","Direction=H","UseDPDF=Y")</f>
        <v>207</v>
      </c>
      <c r="AJ46" s="13">
        <f>_xll.BDH("AMZN US Equity","EBITDA","FQ2 2007","FQ2 2007","Currency=USD","Period=FQ","BEST_FPERIOD_OVERRIDE=FQ","FILING_STATUS=OR","SCALING_FORMAT=MLN","FA_ADJUSTED=Adjusted","Sort=A","Dates=H","DateFormat=P","Fill=—","Direction=H","UseDPDF=Y")</f>
        <v>176</v>
      </c>
      <c r="AK46" s="13">
        <f>_xll.BDH("AMZN US Equity","EBITDA","FQ3 2007","FQ3 2007","Currency=USD","Period=FQ","BEST_FPERIOD_OVERRIDE=FQ","FILING_STATUS=OR","SCALING_FORMAT=MLN","FA_ADJUSTED=Adjusted","Sort=A","Dates=H","DateFormat=P","Fill=—","Direction=H","UseDPDF=Y")</f>
        <v>184</v>
      </c>
      <c r="AL46" s="13">
        <f>_xll.BDH("AMZN US Equity","EBITDA","FQ4 2007","FQ4 2007","Currency=USD","Period=FQ","BEST_FPERIOD_OVERRIDE=FQ","FILING_STATUS=OR","SCALING_FORMAT=MLN","FA_ADJUSTED=Adjusted","Sort=A","Dates=H","DateFormat=P","Fill=—","Direction=H","UseDPDF=Y")</f>
        <v>334</v>
      </c>
      <c r="AM46" s="13">
        <f>_xll.BDH("AMZN US Equity","EBITDA","FQ1 2008","FQ1 2008","Currency=USD","Period=FQ","BEST_FPERIOD_OVERRIDE=FQ","FILING_STATUS=OR","SCALING_FORMAT=MLN","FA_ADJUSTED=Adjusted","Sort=A","Dates=H","DateFormat=P","Fill=—","Direction=H","UseDPDF=Y")</f>
        <v>263</v>
      </c>
      <c r="AN46" s="13">
        <f>_xll.BDH("AMZN US Equity","EBITDA","FQ2 2008","FQ2 2008","Currency=USD","Period=FQ","BEST_FPERIOD_OVERRIDE=FQ","FILING_STATUS=OR","SCALING_FORMAT=MLN","FA_ADJUSTED=Adjusted","Sort=A","Dates=H","DateFormat=P","Fill=—","Direction=H","UseDPDF=Y")</f>
        <v>287</v>
      </c>
      <c r="AO46" s="13">
        <f>_xll.BDH("AMZN US Equity","EBITDA","FQ3 2008","FQ3 2008","Currency=USD","Period=FQ","BEST_FPERIOD_OVERRIDE=FQ","FILING_STATUS=OR","SCALING_FORMAT=MLN","FA_ADJUSTED=Adjusted","Sort=A","Dates=H","DateFormat=P","Fill=—","Direction=H","UseDPDF=Y")</f>
        <v>230</v>
      </c>
      <c r="AP46" s="13">
        <f>_xll.BDH("AMZN US Equity","EBITDA","FQ4 2008","FQ4 2008","Currency=USD","Period=FQ","BEST_FPERIOD_OVERRIDE=FQ","FILING_STATUS=OR","SCALING_FORMAT=MLN","FA_ADJUSTED=Adjusted","Sort=A","Dates=H","DateFormat=P","Fill=—","Direction=H","UseDPDF=Y")</f>
        <v>349</v>
      </c>
    </row>
    <row r="47" spans="1:42" x14ac:dyDescent="0.25">
      <c r="A47" s="10" t="s">
        <v>155</v>
      </c>
      <c r="B47" s="10" t="s">
        <v>156</v>
      </c>
      <c r="C47" s="14">
        <f>_xll.BDH("AMZN US Equity","EBITDA_MARGIN","FQ4 1998","FQ4 1998","Currency=USD","Period=FQ","BEST_FPERIOD_OVERRIDE=FQ","FILING_STATUS=OR","FA_ADJUSTED=Adjusted","Sort=A","Dates=H","DateFormat=P","Fill=—","Direction=H","UseDPDF=Y")</f>
        <v>-8.2250999999999994</v>
      </c>
      <c r="D47" s="14">
        <f>_xll.BDH("AMZN US Equity","EBITDA_MARGIN","FQ1 1999","FQ1 1999","Currency=USD","Period=FQ","BEST_FPERIOD_OVERRIDE=FQ","FILING_STATUS=OR","FA_ADJUSTED=Adjusted","Sort=A","Dates=H","DateFormat=P","Fill=—","Direction=H","UseDPDF=Y")</f>
        <v>-10.8283</v>
      </c>
      <c r="E47" s="14">
        <f>_xll.BDH("AMZN US Equity","EBITDA_MARGIN","FQ2 1999","FQ2 1999","Currency=USD","Period=FQ","BEST_FPERIOD_OVERRIDE=FQ","FILING_STATUS=OR","FA_ADJUSTED=Adjusted","Sort=A","Dates=H","DateFormat=P","Fill=—","Direction=H","UseDPDF=Y")</f>
        <v>-17.5457</v>
      </c>
      <c r="F47" s="14">
        <f>_xll.BDH("AMZN US Equity","EBITDA_MARGIN","FQ3 1999","FQ3 1999","Currency=USD","Period=FQ","BEST_FPERIOD_OVERRIDE=FQ","FILING_STATUS=OR","FA_ADJUSTED=Adjusted","Sort=A","Dates=H","DateFormat=P","Fill=—","Direction=H","UseDPDF=Y")</f>
        <v>-18.706</v>
      </c>
      <c r="G47" s="14">
        <f>_xll.BDH("AMZN US Equity","EBITDA_MARGIN","FQ4 1999","FQ4 1999","Currency=USD","Period=FQ","BEST_FPERIOD_OVERRIDE=FQ","FILING_STATUS=OR","FA_ADJUSTED=Adjusted","Sort=A","Dates=H","DateFormat=P","Fill=—","Direction=H","UseDPDF=Y")</f>
        <v>-7.6862000000000004</v>
      </c>
      <c r="H47" s="14">
        <f>_xll.BDH("AMZN US Equity","EBITDA_MARGIN","FQ1 2000","FQ1 2000","Currency=USD","Period=FQ","BEST_FPERIOD_OVERRIDE=FQ","FILING_STATUS=OR","FA_ADJUSTED=Adjusted","Sort=A","Dates=H","DateFormat=P","Fill=—","Direction=H","UseDPDF=Y")</f>
        <v>-8.3732000000000006</v>
      </c>
      <c r="I47" s="14">
        <f>_xll.BDH("AMZN US Equity","EBITDA_MARGIN","FQ3 2000","FQ3 2000","Currency=USD","Period=FQ","BEST_FPERIOD_OVERRIDE=FQ","FILING_STATUS=OR","FA_ADJUSTED=Adjusted","Sort=A","Dates=H","DateFormat=P","Fill=—","Direction=H","UseDPDF=Y")</f>
        <v>-5.1215999999999999</v>
      </c>
      <c r="J47" s="14">
        <f>_xll.BDH("AMZN US Equity","EBITDA_MARGIN","FQ4 2000","FQ4 2000","Currency=USD","Period=FQ","BEST_FPERIOD_OVERRIDE=FQ","FILING_STATUS=OR","FA_ADJUSTED=Adjusted","Sort=A","Dates=H","DateFormat=P","Fill=—","Direction=H","UseDPDF=Y")</f>
        <v>-10.107100000000001</v>
      </c>
      <c r="K47" s="14">
        <f>_xll.BDH("AMZN US Equity","EBITDA_MARGIN","FQ1 2001","FQ1 2001","Currency=USD","Period=FQ","BEST_FPERIOD_OVERRIDE=FQ","FILING_STATUS=OR","FA_ADJUSTED=Adjusted","Sort=A","Dates=H","DateFormat=P","Fill=—","Direction=H","UseDPDF=Y")</f>
        <v>-7.3693999999999997</v>
      </c>
      <c r="L47" s="14">
        <f>_xll.BDH("AMZN US Equity","EBITDA_MARGIN","FQ2 2001","FQ2 2001","Currency=USD","Period=FQ","BEST_FPERIOD_OVERRIDE=FQ","FILING_STATUS=OR","FA_ADJUSTED=Adjusted","Sort=A","Dates=H","DateFormat=P","Fill=—","Direction=H","UseDPDF=Y")</f>
        <v>-4.8887</v>
      </c>
      <c r="M47" s="14">
        <f>_xll.BDH("AMZN US Equity","EBITDA_MARGIN","FQ3 2001","FQ3 2001","Currency=USD","Period=FQ","BEST_FPERIOD_OVERRIDE=FQ","FILING_STATUS=OR","FA_ADJUSTED=Adjusted","Sort=A","Dates=H","DateFormat=P","Fill=—","Direction=H","UseDPDF=Y")</f>
        <v>-3.5145999999999997</v>
      </c>
      <c r="N47" s="14">
        <f>_xll.BDH("AMZN US Equity","EBITDA_MARGIN","FQ4 2001","FQ4 2001","Currency=USD","Period=FQ","BEST_FPERIOD_OVERRIDE=FQ","FILING_STATUS=OR","FA_ADJUSTED=Adjusted","Sort=A","Dates=H","DateFormat=P","Fill=—","Direction=H","UseDPDF=Y")</f>
        <v>1.2054</v>
      </c>
      <c r="O47" s="14">
        <f>_xll.BDH("AMZN US Equity","EBITDA_MARGIN","FQ1 2002","FQ1 2002","Currency=USD","Period=FQ","BEST_FPERIOD_OVERRIDE=FQ","FILING_STATUS=OR","FA_ADJUSTED=Adjusted","Sort=A","Dates=H","DateFormat=P","Fill=—","Direction=H","UseDPDF=Y")</f>
        <v>3.0811999999999999</v>
      </c>
      <c r="P47" s="14">
        <f>_xll.BDH("AMZN US Equity","EBITDA_MARGIN","FQ2 2002","FQ2 2002","Currency=USD","Period=FQ","BEST_FPERIOD_OVERRIDE=FQ","FILING_STATUS=OR","FA_ADJUSTED=Adjusted","Sort=A","Dates=H","DateFormat=P","Fill=—","Direction=H","UseDPDF=Y")</f>
        <v>3.9361000000000002</v>
      </c>
      <c r="Q47" s="14">
        <f>_xll.BDH("AMZN US Equity","EBITDA_MARGIN","FQ3 2002","FQ3 2002","Currency=USD","Period=FQ","BEST_FPERIOD_OVERRIDE=FQ","FILING_STATUS=OR","FA_ADJUSTED=Adjusted","Sort=A","Dates=H","DateFormat=P","Fill=—","Direction=H","UseDPDF=Y")</f>
        <v>5.1845999999999997</v>
      </c>
      <c r="R47" s="14">
        <f>_xll.BDH("AMZN US Equity","EBITDA_MARGIN","FQ4 2002","FQ4 2002","Currency=USD","Period=FQ","BEST_FPERIOD_OVERRIDE=FQ","FILING_STATUS=OR","FA_ADJUSTED=Adjusted","Sort=A","Dates=H","DateFormat=P","Fill=—","Direction=H","UseDPDF=Y")</f>
        <v>4.9184999999999999</v>
      </c>
      <c r="S47" s="14">
        <f>_xll.BDH("AMZN US Equity","EBITDA_MARGIN","FQ1 2003","FQ1 2003","Currency=USD","Period=FQ","BEST_FPERIOD_OVERRIDE=FQ","FILING_STATUS=OR","FA_ADJUSTED=Adjusted","Sort=A","Dates=H","DateFormat=P","Fill=—","Direction=H","UseDPDF=Y")</f>
        <v>5.2232000000000003</v>
      </c>
      <c r="T47" s="14">
        <f>_xll.BDH("AMZN US Equity","EBITDA_MARGIN","FQ2 2003","FQ2 2003","Currency=USD","Period=FQ","BEST_FPERIOD_OVERRIDE=FQ","FILING_STATUS=OR","FA_ADJUSTED=Adjusted","Sort=A","Dates=H","DateFormat=P","Fill=—","Direction=H","UseDPDF=Y")</f>
        <v>5.7079000000000004</v>
      </c>
      <c r="U47" s="14">
        <f>_xll.BDH("AMZN US Equity","EBITDA_MARGIN","FQ3 2003","FQ3 2003","Currency=USD","Period=FQ","BEST_FPERIOD_OVERRIDE=FQ","FILING_STATUS=OR","FA_ADJUSTED=Adjusted","Sort=A","Dates=H","DateFormat=P","Fill=—","Direction=H","UseDPDF=Y")</f>
        <v>5.8192000000000004</v>
      </c>
      <c r="V47" s="14">
        <f>_xll.BDH("AMZN US Equity","EBITDA_MARGIN","FQ4 2003","FQ4 2003","Currency=USD","Period=FQ","BEST_FPERIOD_OVERRIDE=FQ","FILING_STATUS=OR","FA_ADJUSTED=Adjusted","Sort=A","Dates=H","DateFormat=P","Fill=—","Direction=H","UseDPDF=Y")</f>
        <v>6.5815999999999999</v>
      </c>
      <c r="W47" s="14">
        <f>_xll.BDH("AMZN US Equity","EBITDA_MARGIN","FQ1 2004","FQ1 2004","Currency=USD","Period=FQ","BEST_FPERIOD_OVERRIDE=FQ","FILING_STATUS=OR","FA_ADJUSTED=Adjusted","Sort=A","Dates=H","DateFormat=P","Fill=—","Direction=H","UseDPDF=Y")</f>
        <v>7.2774000000000001</v>
      </c>
      <c r="X47" s="14">
        <f>_xll.BDH("AMZN US Equity","EBITDA_MARGIN","FQ2 2004","FQ2 2004","Currency=USD","Period=FQ","BEST_FPERIOD_OVERRIDE=FQ","FILING_STATUS=OR","FA_ADJUSTED=Adjusted","Sort=A","Dates=H","DateFormat=P","Fill=—","Direction=H","UseDPDF=Y")</f>
        <v>7.5359999999999996</v>
      </c>
      <c r="Y47" s="14">
        <f>_xll.BDH("AMZN US Equity","EBITDA_MARGIN","FQ3 2004","FQ3 2004","Currency=USD","Period=FQ","BEST_FPERIOD_OVERRIDE=FQ","FILING_STATUS=OR","FA_ADJUSTED=Adjusted","Sort=A","Dates=H","DateFormat=P","Fill=—","Direction=H","UseDPDF=Y")</f>
        <v>7.6208</v>
      </c>
      <c r="Z47" s="14">
        <f>_xll.BDH("AMZN US Equity","EBITDA_MARGIN","FQ4 2004","FQ4 2004","Currency=USD","Period=FQ","BEST_FPERIOD_OVERRIDE=FQ","FILING_STATUS=OR","FA_ADJUSTED=Adjusted","Sort=A","Dates=H","DateFormat=P","Fill=—","Direction=H","UseDPDF=Y")</f>
        <v>7.4576000000000002</v>
      </c>
      <c r="AA47" s="14">
        <f>_xll.BDH("AMZN US Equity","EBITDA_MARGIN","FQ1 2005","FQ1 2005","Currency=USD","Period=FQ","BEST_FPERIOD_OVERRIDE=FQ","FILING_STATUS=OR","FA_ADJUSTED=Adjusted","Sort=A","Dates=H","DateFormat=P","Fill=—","Direction=H","UseDPDF=Y")</f>
        <v>7.1856</v>
      </c>
      <c r="AB47" s="14">
        <f>_xll.BDH("AMZN US Equity","EBITDA_MARGIN","FQ2 2005","FQ2 2005","Currency=USD","Period=FQ","BEST_FPERIOD_OVERRIDE=FQ","FILING_STATUS=OR","FA_ADJUSTED=Adjusted","Sort=A","Dates=H","DateFormat=P","Fill=—","Direction=H","UseDPDF=Y")</f>
        <v>7.2702</v>
      </c>
      <c r="AC47" s="14">
        <f>_xll.BDH("AMZN US Equity","EBITDA_MARGIN","FQ3 2005","FQ3 2005","Currency=USD","Period=FQ","BEST_FPERIOD_OVERRIDE=FQ","FILING_STATUS=OR","FA_ADJUSTED=Adjusted","Sort=A","Dates=H","DateFormat=P","Fill=—","Direction=H","UseDPDF=Y")</f>
        <v>6.7224000000000004</v>
      </c>
      <c r="AD47" s="14">
        <f>_xll.BDH("AMZN US Equity","EBITDA_MARGIN","FQ4 2005","FQ4 2005","Currency=USD","Period=FQ","BEST_FPERIOD_OVERRIDE=FQ","FILING_STATUS=OR","FA_ADJUSTED=Adjusted","Sort=A","Dates=H","DateFormat=P","Fill=—","Direction=H","UseDPDF=Y")</f>
        <v>6.5134999999999996</v>
      </c>
      <c r="AE47" s="14">
        <f>_xll.BDH("AMZN US Equity","EBITDA_MARGIN","FQ1 2006","FQ1 2006","Currency=USD","Period=FQ","BEST_FPERIOD_OVERRIDE=FQ","FILING_STATUS=OR","FA_ADJUSTED=Adjusted","Sort=A","Dates=H","DateFormat=P","Fill=—","Direction=H","UseDPDF=Y")</f>
        <v>6.3494000000000002</v>
      </c>
      <c r="AF47" s="14">
        <f>_xll.BDH("AMZN US Equity","EBITDA_MARGIN","FQ2 2006","FQ2 2006","Currency=USD","Period=FQ","BEST_FPERIOD_OVERRIDE=FQ","FILING_STATUS=OR","FA_ADJUSTED=Adjusted","Sort=A","Dates=H","DateFormat=P","Fill=—","Direction=H","UseDPDF=Y")</f>
        <v>5.6521999999999997</v>
      </c>
      <c r="AG47" s="14">
        <f>_xll.BDH("AMZN US Equity","EBITDA_MARGIN","FQ3 2006","FQ3 2006","Currency=USD","Period=FQ","BEST_FPERIOD_OVERRIDE=FQ","FILING_STATUS=OR","FA_ADJUSTED=Adjusted","Sort=A","Dates=H","DateFormat=P","Fill=—","Direction=H","UseDPDF=Y")</f>
        <v>5.5762</v>
      </c>
      <c r="AH47" s="14">
        <f>_xll.BDH("AMZN US Equity","EBITDA_MARGIN","FQ4 2006","FQ4 2006","Currency=USD","Period=FQ","BEST_FPERIOD_OVERRIDE=FQ","FILING_STATUS=OR","FA_ADJUSTED=Adjusted","Sort=A","Dates=H","DateFormat=P","Fill=—","Direction=H","UseDPDF=Y")</f>
        <v>5.5457000000000001</v>
      </c>
      <c r="AI47" s="14">
        <f>_xll.BDH("AMZN US Equity","EBITDA_MARGIN","FQ1 2007","FQ1 2007","Currency=USD","Period=FQ","BEST_FPERIOD_OVERRIDE=FQ","FILING_STATUS=OR","FA_ADJUSTED=Adjusted","Sort=A","Dates=H","DateFormat=P","Fill=—","Direction=H","UseDPDF=Y")</f>
        <v>5.7219999999999995</v>
      </c>
      <c r="AJ47" s="14">
        <f>_xll.BDH("AMZN US Equity","EBITDA_MARGIN","FQ2 2007","FQ2 2007","Currency=USD","Period=FQ","BEST_FPERIOD_OVERRIDE=FQ","FILING_STATUS=OR","FA_ADJUSTED=Adjusted","Sort=A","Dates=H","DateFormat=P","Fill=—","Direction=H","UseDPDF=Y")</f>
        <v>6.0768000000000004</v>
      </c>
      <c r="AK47" s="14">
        <f>_xll.BDH("AMZN US Equity","EBITDA_MARGIN","FQ3 2007","FQ3 2007","Currency=USD","Period=FQ","BEST_FPERIOD_OVERRIDE=FQ","FILING_STATUS=OR","FA_ADJUSTED=Adjusted","Sort=A","Dates=H","DateFormat=P","Fill=—","Direction=H","UseDPDF=Y")</f>
        <v>6.2514000000000003</v>
      </c>
      <c r="AL47" s="14">
        <f>_xll.BDH("AMZN US Equity","EBITDA_MARGIN","FQ4 2007","FQ4 2007","Currency=USD","Period=FQ","BEST_FPERIOD_OVERRIDE=FQ","FILING_STATUS=OR","FA_ADJUSTED=Adjusted","Sort=A","Dates=H","DateFormat=P","Fill=—","Direction=H","UseDPDF=Y")</f>
        <v>6.0731000000000002</v>
      </c>
      <c r="AM47" s="14">
        <f>_xll.BDH("AMZN US Equity","EBITDA_MARGIN","FQ1 2008","FQ1 2008","Currency=USD","Period=FQ","BEST_FPERIOD_OVERRIDE=FQ","FILING_STATUS=OR","FA_ADJUSTED=Adjusted","Sort=A","Dates=H","DateFormat=P","Fill=—","Direction=H","UseDPDF=Y")</f>
        <v>5.9977</v>
      </c>
      <c r="AN47" s="14">
        <f>_xll.BDH("AMZN US Equity","EBITDA_MARGIN","FQ2 2008","FQ2 2008","Currency=USD","Period=FQ","BEST_FPERIOD_OVERRIDE=FQ","FILING_STATUS=OR","FA_ADJUSTED=Adjusted","Sort=A","Dates=H","DateFormat=P","Fill=—","Direction=H","UseDPDF=Y")</f>
        <v>6.2336</v>
      </c>
      <c r="AO47" s="14">
        <f>_xll.BDH("AMZN US Equity","EBITDA_MARGIN","FQ3 2008","FQ3 2008","Currency=USD","Period=FQ","BEST_FPERIOD_OVERRIDE=FQ","FILING_STATUS=OR","FA_ADJUSTED=Adjusted","Sort=A","Dates=H","DateFormat=P","Fill=—","Direction=H","UseDPDF=Y")</f>
        <v>6.1428000000000003</v>
      </c>
      <c r="AP47" s="14">
        <f>_xll.BDH("AMZN US Equity","EBITDA_MARGIN","FQ4 2008","FQ4 2008","Currency=USD","Period=FQ","BEST_FPERIOD_OVERRIDE=FQ","FILING_STATUS=OR","FA_ADJUSTED=Adjusted","Sort=A","Dates=H","DateFormat=P","Fill=—","Direction=H","UseDPDF=Y")</f>
        <v>5.8906000000000001</v>
      </c>
    </row>
    <row r="48" spans="1:42" x14ac:dyDescent="0.25">
      <c r="A48" s="10" t="s">
        <v>157</v>
      </c>
      <c r="B48" s="10" t="s">
        <v>157</v>
      </c>
      <c r="C48" s="13" t="str">
        <f>_xll.BDH("AMZN US Equity","EBITA","FQ4 1998","FQ4 1998","Currency=USD","Period=FQ","BEST_FPERIOD_OVERRIDE=FQ","FILING_STATUS=OR","SCALING_FORMAT=MLN","FA_ADJUSTED=Adjusted","Sort=A","Dates=H","DateFormat=P","Fill=—","Direction=H","UseDPDF=Y")</f>
        <v>—</v>
      </c>
      <c r="D48" s="13">
        <f>_xll.BDH("AMZN US Equity","EBITA","FQ1 1999","FQ1 1999","Currency=USD","Period=FQ","BEST_FPERIOD_OVERRIDE=FQ","FILING_STATUS=OR","SCALING_FORMAT=MLN","FA_ADJUSTED=Adjusted","Sort=A","Dates=H","DateFormat=P","Fill=—","Direction=H","UseDPDF=Y")</f>
        <v>-51.579000000000001</v>
      </c>
      <c r="E48" s="13">
        <f>_xll.BDH("AMZN US Equity","EBITA","FQ2 1999","FQ2 1999","Currency=USD","Period=FQ","BEST_FPERIOD_OVERRIDE=FQ","FILING_STATUS=OR","SCALING_FORMAT=MLN","FA_ADJUSTED=Adjusted","Sort=A","Dates=H","DateFormat=P","Fill=—","Direction=H","UseDPDF=Y")</f>
        <v>-109.071</v>
      </c>
      <c r="F48" s="13">
        <f>_xll.BDH("AMZN US Equity","EBITA","FQ3 1999","FQ3 1999","Currency=USD","Period=FQ","BEST_FPERIOD_OVERRIDE=FQ","FILING_STATUS=OR","SCALING_FORMAT=MLN","FA_ADJUSTED=Adjusted","Sort=A","Dates=H","DateFormat=P","Fill=—","Direction=H","UseDPDF=Y")</f>
        <v>-79.188000000000002</v>
      </c>
      <c r="G48" s="13" t="str">
        <f>_xll.BDH("AMZN US Equity","EBITA","FQ4 1999","FQ4 1999","Currency=USD","Period=FQ","BEST_FPERIOD_OVERRIDE=FQ","FILING_STATUS=OR","SCALING_FORMAT=MLN","FA_ADJUSTED=Adjusted","Sort=A","Dates=H","DateFormat=P","Fill=—","Direction=H","UseDPDF=Y")</f>
        <v>—</v>
      </c>
      <c r="H48" s="13">
        <f>_xll.BDH("AMZN US Equity","EBITA","FQ1 2000","FQ1 2000","Currency=USD","Period=FQ","BEST_FPERIOD_OVERRIDE=FQ","FILING_STATUS=OR","SCALING_FORMAT=MLN","FA_ADJUSTED=Adjusted","Sort=A","Dates=H","DateFormat=P","Fill=—","Direction=H","UseDPDF=Y")</f>
        <v>-99.266000000000005</v>
      </c>
      <c r="I48" s="13">
        <f>_xll.BDH("AMZN US Equity","EBITA","FQ3 2000","FQ3 2000","Currency=USD","Period=FQ","BEST_FPERIOD_OVERRIDE=FQ","FILING_STATUS=OR","SCALING_FORMAT=MLN","FA_ADJUSTED=Adjusted","Sort=A","Dates=H","DateFormat=P","Fill=—","Direction=H","UseDPDF=Y")</f>
        <v>-68.438999999999993</v>
      </c>
      <c r="J48" s="13">
        <f>_xll.BDH("AMZN US Equity","EBITA","FQ4 2000","FQ4 2000","Currency=USD","Period=FQ","BEST_FPERIOD_OVERRIDE=FQ","FILING_STATUS=OR","SCALING_FORMAT=MLN","FA_ADJUSTED=Adjusted","Sort=A","Dates=H","DateFormat=P","Fill=—","Direction=H","UseDPDF=Y")</f>
        <v>-83.283000000000001</v>
      </c>
      <c r="K48" s="13">
        <f>_xll.BDH("AMZN US Equity","EBITA","FQ1 2001","FQ1 2001","Currency=USD","Period=FQ","BEST_FPERIOD_OVERRIDE=FQ","FILING_STATUS=OR","SCALING_FORMAT=MLN","FA_ADJUSTED=Adjusted","Sort=A","Dates=H","DateFormat=P","Fill=—","Direction=H","UseDPDF=Y")</f>
        <v>-51.517000000000003</v>
      </c>
      <c r="L48" s="13">
        <f>_xll.BDH("AMZN US Equity","EBITA","FQ2 2001","FQ2 2001","Currency=USD","Period=FQ","BEST_FPERIOD_OVERRIDE=FQ","FILING_STATUS=OR","SCALING_FORMAT=MLN","FA_ADJUSTED=Adjusted","Sort=A","Dates=H","DateFormat=P","Fill=—","Direction=H","UseDPDF=Y")</f>
        <v>-30.36</v>
      </c>
      <c r="M48" s="13">
        <f>_xll.BDH("AMZN US Equity","EBITA","FQ3 2001","FQ3 2001","Currency=USD","Period=FQ","BEST_FPERIOD_OVERRIDE=FQ","FILING_STATUS=OR","SCALING_FORMAT=MLN","FA_ADJUSTED=Adjusted","Sort=A","Dates=H","DateFormat=P","Fill=—","Direction=H","UseDPDF=Y")</f>
        <v>-24.504999999999999</v>
      </c>
      <c r="N48" s="13">
        <f>_xll.BDH("AMZN US Equity","EBITA","FQ4 2001","FQ4 2001","Currency=USD","Period=FQ","BEST_FPERIOD_OVERRIDE=FQ","FILING_STATUS=OR","SCALING_FORMAT=MLN","FA_ADJUSTED=Adjusted","Sort=A","Dates=H","DateFormat=P","Fill=—","Direction=H","UseDPDF=Y")</f>
        <v>61.018999999999998</v>
      </c>
      <c r="O48" s="13">
        <f>_xll.BDH("AMZN US Equity","EBITA","FQ1 2002","FQ1 2002","Currency=USD","Period=FQ","BEST_FPERIOD_OVERRIDE=FQ","FILING_STATUS=OR","SCALING_FORMAT=MLN","FA_ADJUSTED=Adjusted","Sort=A","Dates=H","DateFormat=P","Fill=—","Direction=H","UseDPDF=Y")</f>
        <v>13.718</v>
      </c>
      <c r="P48" s="13">
        <f>_xll.BDH("AMZN US Equity","EBITA","FQ2 2002","FQ2 2002","Currency=USD","Period=FQ","BEST_FPERIOD_OVERRIDE=FQ","FILING_STATUS=OR","SCALING_FORMAT=MLN","FA_ADJUSTED=Adjusted","Sort=A","Dates=H","DateFormat=P","Fill=—","Direction=H","UseDPDF=Y")</f>
        <v>2.8460000000000001</v>
      </c>
      <c r="Q48" s="13">
        <f>_xll.BDH("AMZN US Equity","EBITA","FQ3 2002","FQ3 2002","Currency=USD","Period=FQ","BEST_FPERIOD_OVERRIDE=FQ","FILING_STATUS=OR","SCALING_FORMAT=MLN","FA_ADJUSTED=Adjusted","Sort=A","Dates=H","DateFormat=P","Fill=—","Direction=H","UseDPDF=Y")</f>
        <v>28.324000000000002</v>
      </c>
      <c r="R48" s="13">
        <f>_xll.BDH("AMZN US Equity","EBITA","FQ4 2002","FQ4 2002","Currency=USD","Period=FQ","BEST_FPERIOD_OVERRIDE=FQ","FILING_STATUS=OR","SCALING_FORMAT=MLN","FA_ADJUSTED=Adjusted","Sort=A","Dates=H","DateFormat=P","Fill=—","Direction=H","UseDPDF=Y")</f>
        <v>71.552000000000007</v>
      </c>
      <c r="S48" s="13">
        <f>_xll.BDH("AMZN US Equity","EBITA","FQ1 2003","FQ1 2003","Currency=USD","Period=FQ","BEST_FPERIOD_OVERRIDE=FQ","FILING_STATUS=OR","SCALING_FORMAT=MLN","FA_ADJUSTED=Adjusted","Sort=A","Dates=H","DateFormat=P","Fill=—","Direction=H","UseDPDF=Y")</f>
        <v>39.225000000000001</v>
      </c>
      <c r="T48" s="13">
        <f>_xll.BDH("AMZN US Equity","EBITA","FQ2 2003","FQ2 2003","Currency=USD","Period=FQ","BEST_FPERIOD_OVERRIDE=FQ","FILING_STATUS=OR","SCALING_FORMAT=MLN","FA_ADJUSTED=Adjusted","Sort=A","Dates=H","DateFormat=P","Fill=—","Direction=H","UseDPDF=Y")</f>
        <v>41.823</v>
      </c>
      <c r="U48" s="13">
        <f>_xll.BDH("AMZN US Equity","EBITA","FQ3 2003","FQ3 2003","Currency=USD","Period=FQ","BEST_FPERIOD_OVERRIDE=FQ","FILING_STATUS=OR","SCALING_FORMAT=MLN","FA_ADJUSTED=Adjusted","Sort=A","Dates=H","DateFormat=P","Fill=—","Direction=H","UseDPDF=Y")</f>
        <v>51.930999999999997</v>
      </c>
      <c r="V48" s="13">
        <f>_xll.BDH("AMZN US Equity","EBITA","FQ4 2003","FQ4 2003","Currency=USD","Period=FQ","BEST_FPERIOD_OVERRIDE=FQ","FILING_STATUS=OR","SCALING_FORMAT=MLN","FA_ADJUSTED=Adjusted","Sort=A","Dates=H","DateFormat=P","Fill=—","Direction=H","UseDPDF=Y")</f>
        <v>137.89699999999999</v>
      </c>
      <c r="W48" s="13">
        <f>_xll.BDH("AMZN US Equity","EBITA","FQ1 2004","FQ1 2004","Currency=USD","Period=FQ","BEST_FPERIOD_OVERRIDE=FQ","FILING_STATUS=OR","SCALING_FORMAT=MLN","FA_ADJUSTED=Adjusted","Sort=A","Dates=H","DateFormat=P","Fill=—","Direction=H","UseDPDF=Y")</f>
        <v>110.435</v>
      </c>
      <c r="X48" s="13">
        <f>_xll.BDH("AMZN US Equity","EBITA","FQ2 2004","FQ2 2004","Currency=USD","Period=FQ","BEST_FPERIOD_OVERRIDE=FQ","FILING_STATUS=OR","SCALING_FORMAT=MLN","FA_ADJUSTED=Adjusted","Sort=A","Dates=H","DateFormat=P","Fill=—","Direction=H","UseDPDF=Y")</f>
        <v>79.123999999999995</v>
      </c>
      <c r="Y48" s="13">
        <f>_xll.BDH("AMZN US Equity","EBITA","FQ3 2004","FQ3 2004","Currency=USD","Period=FQ","BEST_FPERIOD_OVERRIDE=FQ","FILING_STATUS=OR","SCALING_FORMAT=MLN","FA_ADJUSTED=Adjusted","Sort=A","Dates=H","DateFormat=P","Fill=—","Direction=H","UseDPDF=Y")</f>
        <v>81.274000000000001</v>
      </c>
      <c r="Z48" s="13">
        <f>_xll.BDH("AMZN US Equity","EBITA","FQ4 2004","FQ4 2004","Currency=USD","Period=FQ","BEST_FPERIOD_OVERRIDE=FQ","FILING_STATUS=OR","SCALING_FORMAT=MLN","FA_ADJUSTED=Adjusted","Sort=A","Dates=H","DateFormat=P","Fill=—","Direction=H","UseDPDF=Y")</f>
        <v>169.59200000000001</v>
      </c>
      <c r="AA48" s="13">
        <f>_xll.BDH("AMZN US Equity","EBITA","FQ1 2005","FQ1 2005","Currency=USD","Period=FQ","BEST_FPERIOD_OVERRIDE=FQ","FILING_STATUS=OR","SCALING_FORMAT=MLN","FA_ADJUSTED=Adjusted","Sort=A","Dates=H","DateFormat=P","Fill=—","Direction=H","UseDPDF=Y")</f>
        <v>108</v>
      </c>
      <c r="AB48" s="13">
        <f>_xll.BDH("AMZN US Equity","EBITA","FQ2 2005","FQ2 2005","Currency=USD","Period=FQ","BEST_FPERIOD_OVERRIDE=FQ","FILING_STATUS=OR","SCALING_FORMAT=MLN","FA_ADJUSTED=Adjusted","Sort=A","Dates=H","DateFormat=P","Fill=—","Direction=H","UseDPDF=Y")</f>
        <v>104</v>
      </c>
      <c r="AC48" s="13">
        <f>_xll.BDH("AMZN US Equity","EBITA","FQ3 2005","FQ3 2005","Currency=USD","Period=FQ","BEST_FPERIOD_OVERRIDE=FQ","FILING_STATUS=OR","SCALING_FORMAT=MLN","FA_ADJUSTED=Adjusted","Sort=A","Dates=H","DateFormat=P","Fill=—","Direction=H","UseDPDF=Y")</f>
        <v>55</v>
      </c>
      <c r="AD48" s="13">
        <f>_xll.BDH("AMZN US Equity","EBITA","FQ4 2005","FQ4 2005","Currency=USD","Period=FQ","BEST_FPERIOD_OVERRIDE=FQ","FILING_STATUS=OR","SCALING_FORMAT=MLN","FA_ADJUSTED=Adjusted","Sort=A","Dates=H","DateFormat=P","Fill=—","Direction=H","UseDPDF=Y")</f>
        <v>173</v>
      </c>
      <c r="AE48" s="13">
        <f>_xll.BDH("AMZN US Equity","EBITA","FQ1 2006","FQ1 2006","Currency=USD","Period=FQ","BEST_FPERIOD_OVERRIDE=FQ","FILING_STATUS=OR","SCALING_FORMAT=MLN","FA_ADJUSTED=Adjusted","Sort=A","Dates=H","DateFormat=P","Fill=—","Direction=H","UseDPDF=Y")</f>
        <v>108</v>
      </c>
      <c r="AF48" s="13">
        <f>_xll.BDH("AMZN US Equity","EBITA","FQ2 2006","FQ2 2006","Currency=USD","Period=FQ","BEST_FPERIOD_OVERRIDE=FQ","FILING_STATUS=OR","SCALING_FORMAT=MLN","FA_ADJUSTED=Adjusted","Sort=A","Dates=H","DateFormat=P","Fill=—","Direction=H","UseDPDF=Y")</f>
        <v>49</v>
      </c>
      <c r="AG48" s="13">
        <f>_xll.BDH("AMZN US Equity","EBITA","FQ3 2006","FQ3 2006","Currency=USD","Period=FQ","BEST_FPERIOD_OVERRIDE=FQ","FILING_STATUS=OR","SCALING_FORMAT=MLN","FA_ADJUSTED=Adjusted","Sort=A","Dates=H","DateFormat=P","Fill=—","Direction=H","UseDPDF=Y")</f>
        <v>41</v>
      </c>
      <c r="AH48" s="13">
        <f>_xll.BDH("AMZN US Equity","EBITA","FQ4 2006","FQ4 2006","Currency=USD","Period=FQ","BEST_FPERIOD_OVERRIDE=FQ","FILING_STATUS=OR","SCALING_FORMAT=MLN","FA_ADJUSTED=Adjusted","Sort=A","Dates=H","DateFormat=P","Fill=—","Direction=H","UseDPDF=Y")</f>
        <v>196</v>
      </c>
      <c r="AI48" s="13">
        <f>_xll.BDH("AMZN US Equity","EBITA","FQ1 2007","FQ1 2007","Currency=USD","Period=FQ","BEST_FPERIOD_OVERRIDE=FQ","FILING_STATUS=OR","SCALING_FORMAT=MLN","FA_ADJUSTED=Adjusted","Sort=A","Dates=H","DateFormat=P","Fill=—","Direction=H","UseDPDF=Y")</f>
        <v>145</v>
      </c>
      <c r="AJ48" s="13">
        <f>_xll.BDH("AMZN US Equity","EBITA","FQ2 2007","FQ2 2007","Currency=USD","Period=FQ","BEST_FPERIOD_OVERRIDE=FQ","FILING_STATUS=OR","SCALING_FORMAT=MLN","FA_ADJUSTED=Adjusted","Sort=A","Dates=H","DateFormat=P","Fill=—","Direction=H","UseDPDF=Y")</f>
        <v>116</v>
      </c>
      <c r="AK48" s="13">
        <f>_xll.BDH("AMZN US Equity","EBITA","FQ3 2007","FQ3 2007","Currency=USD","Period=FQ","BEST_FPERIOD_OVERRIDE=FQ","FILING_STATUS=OR","SCALING_FORMAT=MLN","FA_ADJUSTED=Adjusted","Sort=A","Dates=H","DateFormat=P","Fill=—","Direction=H","UseDPDF=Y")</f>
        <v>123</v>
      </c>
      <c r="AL48" s="13">
        <f>_xll.BDH("AMZN US Equity","EBITA","FQ4 2007","FQ4 2007","Currency=USD","Period=FQ","BEST_FPERIOD_OVERRIDE=FQ","FILING_STATUS=OR","SCALING_FORMAT=MLN","FA_ADJUSTED=Adjusted","Sort=A","Dates=H","DateFormat=P","Fill=—","Direction=H","UseDPDF=Y")</f>
        <v>271</v>
      </c>
      <c r="AM48" s="13">
        <f>_xll.BDH("AMZN US Equity","EBITA","FQ1 2008","FQ1 2008","Currency=USD","Period=FQ","BEST_FPERIOD_OVERRIDE=FQ","FILING_STATUS=OR","SCALING_FORMAT=MLN","FA_ADJUSTED=Adjusted","Sort=A","Dates=H","DateFormat=P","Fill=—","Direction=H","UseDPDF=Y")</f>
        <v>198</v>
      </c>
      <c r="AN48" s="13">
        <f>_xll.BDH("AMZN US Equity","EBITA","FQ2 2008","FQ2 2008","Currency=USD","Period=FQ","BEST_FPERIOD_OVERRIDE=FQ","FILING_STATUS=OR","SCALING_FORMAT=MLN","FA_ADJUSTED=Adjusted","Sort=A","Dates=H","DateFormat=P","Fill=—","Direction=H","UseDPDF=Y")</f>
        <v>217</v>
      </c>
      <c r="AO48" s="13">
        <f>_xll.BDH("AMZN US Equity","EBITA","FQ3 2008","FQ3 2008","Currency=USD","Period=FQ","BEST_FPERIOD_OVERRIDE=FQ","FILING_STATUS=OR","SCALING_FORMAT=MLN","FA_ADJUSTED=Adjusted","Sort=A","Dates=H","DateFormat=P","Fill=—","Direction=H","UseDPDF=Y")</f>
        <v>154</v>
      </c>
      <c r="AP48" s="13">
        <f>_xll.BDH("AMZN US Equity","EBITA","FQ4 2008","FQ4 2008","Currency=USD","Period=FQ","BEST_FPERIOD_OVERRIDE=FQ","FILING_STATUS=OR","SCALING_FORMAT=MLN","FA_ADJUSTED=Adjusted","Sort=A","Dates=H","DateFormat=P","Fill=—","Direction=H","UseDPDF=Y")</f>
        <v>263</v>
      </c>
    </row>
    <row r="49" spans="1:42" x14ac:dyDescent="0.25">
      <c r="A49" s="10" t="s">
        <v>158</v>
      </c>
      <c r="B49" s="10" t="s">
        <v>158</v>
      </c>
      <c r="C49" s="13">
        <f>_xll.BDH("AMZN US Equity","EBIT","FQ4 1998","FQ4 1998","Currency=USD","Period=FQ","BEST_FPERIOD_OVERRIDE=FQ","FILING_STATUS=OR","SCALING_FORMAT=MLN","FA_ADJUSTED=Adjusted","Sort=A","Dates=H","DateFormat=P","Fill=—","Direction=H","UseDPDF=Y")</f>
        <v>-17.995999999999999</v>
      </c>
      <c r="D49" s="13">
        <f>_xll.BDH("AMZN US Equity","EBIT","FQ1 1999","FQ1 1999","Currency=USD","Period=FQ","BEST_FPERIOD_OVERRIDE=FQ","FILING_STATUS=OR","SCALING_FORMAT=MLN","FA_ADJUSTED=Adjusted","Sort=A","Dates=H","DateFormat=P","Fill=—","Direction=H","UseDPDF=Y")</f>
        <v>-51.579000000000001</v>
      </c>
      <c r="E49" s="13">
        <f>_xll.BDH("AMZN US Equity","EBIT","FQ2 1999","FQ2 1999","Currency=USD","Period=FQ","BEST_FPERIOD_OVERRIDE=FQ","FILING_STATUS=OR","SCALING_FORMAT=MLN","FA_ADJUSTED=Adjusted","Sort=A","Dates=H","DateFormat=P","Fill=—","Direction=H","UseDPDF=Y")</f>
        <v>-109.071</v>
      </c>
      <c r="F49" s="13">
        <f>_xll.BDH("AMZN US Equity","EBIT","FQ3 1999","FQ3 1999","Currency=USD","Period=FQ","BEST_FPERIOD_OVERRIDE=FQ","FILING_STATUS=OR","SCALING_FORMAT=MLN","FA_ADJUSTED=Adjusted","Sort=A","Dates=H","DateFormat=P","Fill=—","Direction=H","UseDPDF=Y")</f>
        <v>-165.33</v>
      </c>
      <c r="G49" s="13">
        <f>_xll.BDH("AMZN US Equity","EBIT","FQ4 1999","FQ4 1999","Currency=USD","Period=FQ","BEST_FPERIOD_OVERRIDE=FQ","FILING_STATUS=OR","SCALING_FORMAT=MLN","FA_ADJUSTED=Adjusted","Sort=A","Dates=H","DateFormat=P","Fill=—","Direction=H","UseDPDF=Y")</f>
        <v>-82.18</v>
      </c>
      <c r="H49" s="13">
        <f>_xll.BDH("AMZN US Equity","EBIT","FQ1 2000","FQ1 2000","Currency=USD","Period=FQ","BEST_FPERIOD_OVERRIDE=FQ","FILING_STATUS=OR","SCALING_FORMAT=MLN","FA_ADJUSTED=Adjusted","Sort=A","Dates=H","DateFormat=P","Fill=—","Direction=H","UseDPDF=Y")</f>
        <v>-195.87299999999999</v>
      </c>
      <c r="I49" s="13">
        <f>_xll.BDH("AMZN US Equity","EBIT","FQ3 2000","FQ3 2000","Currency=USD","Period=FQ","BEST_FPERIOD_OVERRIDE=FQ","FILING_STATUS=OR","SCALING_FORMAT=MLN","FA_ADJUSTED=Adjusted","Sort=A","Dates=H","DateFormat=P","Fill=—","Direction=H","UseDPDF=Y")</f>
        <v>-151.72399999999999</v>
      </c>
      <c r="J49" s="13">
        <f>_xll.BDH("AMZN US Equity","EBIT","FQ4 2000","FQ4 2000","Currency=USD","Period=FQ","BEST_FPERIOD_OVERRIDE=FQ","FILING_STATUS=OR","SCALING_FORMAT=MLN","FA_ADJUSTED=Adjusted","Sort=A","Dates=H","DateFormat=P","Fill=—","Direction=H","UseDPDF=Y")</f>
        <v>-138.04400000000001</v>
      </c>
      <c r="K49" s="13">
        <f>_xll.BDH("AMZN US Equity","EBIT","FQ1 2001","FQ1 2001","Currency=USD","Period=FQ","BEST_FPERIOD_OVERRIDE=FQ","FILING_STATUS=OR","SCALING_FORMAT=MLN","FA_ADJUSTED=Adjusted","Sort=A","Dates=H","DateFormat=P","Fill=—","Direction=H","UseDPDF=Y")</f>
        <v>-102.348</v>
      </c>
      <c r="L49" s="13">
        <f>_xll.BDH("AMZN US Equity","EBIT","FQ2 2001","FQ2 2001","Currency=USD","Period=FQ","BEST_FPERIOD_OVERRIDE=FQ","FILING_STATUS=OR","SCALING_FORMAT=MLN","FA_ADJUSTED=Adjusted","Sort=A","Dates=H","DateFormat=P","Fill=—","Direction=H","UseDPDF=Y")</f>
        <v>-81.19</v>
      </c>
      <c r="M49" s="13">
        <f>_xll.BDH("AMZN US Equity","EBIT","FQ3 2001","FQ3 2001","Currency=USD","Period=FQ","BEST_FPERIOD_OVERRIDE=FQ","FILING_STATUS=OR","SCALING_FORMAT=MLN","FA_ADJUSTED=Adjusted","Sort=A","Dates=H","DateFormat=P","Fill=—","Direction=H","UseDPDF=Y")</f>
        <v>-66.34</v>
      </c>
      <c r="N49" s="13">
        <f>_xll.BDH("AMZN US Equity","EBIT","FQ4 2001","FQ4 2001","Currency=USD","Period=FQ","BEST_FPERIOD_OVERRIDE=FQ","FILING_STATUS=OR","SCALING_FORMAT=MLN","FA_ADJUSTED=Adjusted","Sort=A","Dates=H","DateFormat=P","Fill=—","Direction=H","UseDPDF=Y")</f>
        <v>21.773</v>
      </c>
      <c r="O49" s="13">
        <f>_xll.BDH("AMZN US Equity","EBIT","FQ1 2002","FQ1 2002","Currency=USD","Period=FQ","BEST_FPERIOD_OVERRIDE=FQ","FILING_STATUS=OR","SCALING_FORMAT=MLN","FA_ADJUSTED=Adjusted","Sort=A","Dates=H","DateFormat=P","Fill=—","Direction=H","UseDPDF=Y")</f>
        <v>11.747999999999999</v>
      </c>
      <c r="P49" s="13">
        <f>_xll.BDH("AMZN US Equity","EBIT","FQ2 2002","FQ2 2002","Currency=USD","Period=FQ","BEST_FPERIOD_OVERRIDE=FQ","FILING_STATUS=OR","SCALING_FORMAT=MLN","FA_ADJUSTED=Adjusted","Sort=A","Dates=H","DateFormat=P","Fill=—","Direction=H","UseDPDF=Y")</f>
        <v>1.472</v>
      </c>
      <c r="Q49" s="13">
        <f>_xll.BDH("AMZN US Equity","EBIT","FQ3 2002","FQ3 2002","Currency=USD","Period=FQ","BEST_FPERIOD_OVERRIDE=FQ","FILING_STATUS=OR","SCALING_FORMAT=MLN","FA_ADJUSTED=Adjusted","Sort=A","Dates=H","DateFormat=P","Fill=—","Direction=H","UseDPDF=Y")</f>
        <v>27.111999999999998</v>
      </c>
      <c r="R49" s="13">
        <f>_xll.BDH("AMZN US Equity","EBIT","FQ4 2002","FQ4 2002","Currency=USD","Period=FQ","BEST_FPERIOD_OVERRIDE=FQ","FILING_STATUS=OR","SCALING_FORMAT=MLN","FA_ADJUSTED=Adjusted","Sort=A","Dates=H","DateFormat=P","Fill=—","Direction=H","UseDPDF=Y")</f>
        <v>65.364999999999995</v>
      </c>
      <c r="S49" s="13">
        <f>_xll.BDH("AMZN US Equity","EBIT","FQ1 2003","FQ1 2003","Currency=USD","Period=FQ","BEST_FPERIOD_OVERRIDE=FQ","FILING_STATUS=OR","SCALING_FORMAT=MLN","FA_ADJUSTED=Adjusted","Sort=A","Dates=H","DateFormat=P","Fill=—","Direction=H","UseDPDF=Y")</f>
        <v>39.225000000000001</v>
      </c>
      <c r="T49" s="13">
        <f>_xll.BDH("AMZN US Equity","EBIT","FQ2 2003","FQ2 2003","Currency=USD","Period=FQ","BEST_FPERIOD_OVERRIDE=FQ","FILING_STATUS=OR","SCALING_FORMAT=MLN","FA_ADJUSTED=Adjusted","Sort=A","Dates=H","DateFormat=P","Fill=—","Direction=H","UseDPDF=Y")</f>
        <v>41.823</v>
      </c>
      <c r="U49" s="13">
        <f>_xll.BDH("AMZN US Equity","EBIT","FQ3 2003","FQ3 2003","Currency=USD","Period=FQ","BEST_FPERIOD_OVERRIDE=FQ","FILING_STATUS=OR","SCALING_FORMAT=MLN","FA_ADJUSTED=Adjusted","Sort=A","Dates=H","DateFormat=P","Fill=—","Direction=H","UseDPDF=Y")</f>
        <v>51.930999999999997</v>
      </c>
      <c r="V49" s="13">
        <f>_xll.BDH("AMZN US Equity","EBIT","FQ4 2003","FQ4 2003","Currency=USD","Period=FQ","BEST_FPERIOD_OVERRIDE=FQ","FILING_STATUS=OR","SCALING_FORMAT=MLN","FA_ADJUSTED=Adjusted","Sort=A","Dates=H","DateFormat=P","Fill=—","Direction=H","UseDPDF=Y")</f>
        <v>137.756</v>
      </c>
      <c r="W49" s="13">
        <f>_xll.BDH("AMZN US Equity","EBIT","FQ1 2004","FQ1 2004","Currency=USD","Period=FQ","BEST_FPERIOD_OVERRIDE=FQ","FILING_STATUS=OR","SCALING_FORMAT=MLN","FA_ADJUSTED=Adjusted","Sort=A","Dates=H","DateFormat=P","Fill=—","Direction=H","UseDPDF=Y")</f>
        <v>110.435</v>
      </c>
      <c r="X49" s="13">
        <f>_xll.BDH("AMZN US Equity","EBIT","FQ2 2004","FQ2 2004","Currency=USD","Period=FQ","BEST_FPERIOD_OVERRIDE=FQ","FILING_STATUS=OR","SCALING_FORMAT=MLN","FA_ADJUSTED=Adjusted","Sort=A","Dates=H","DateFormat=P","Fill=—","Direction=H","UseDPDF=Y")</f>
        <v>79.123999999999995</v>
      </c>
      <c r="Y49" s="13">
        <f>_xll.BDH("AMZN US Equity","EBIT","FQ3 2004","FQ3 2004","Currency=USD","Period=FQ","BEST_FPERIOD_OVERRIDE=FQ","FILING_STATUS=OR","SCALING_FORMAT=MLN","FA_ADJUSTED=Adjusted","Sort=A","Dates=H","DateFormat=P","Fill=—","Direction=H","UseDPDF=Y")</f>
        <v>81.274000000000001</v>
      </c>
      <c r="Z49" s="13">
        <f>_xll.BDH("AMZN US Equity","EBIT","FQ4 2004","FQ4 2004","Currency=USD","Period=FQ","BEST_FPERIOD_OVERRIDE=FQ","FILING_STATUS=OR","SCALING_FORMAT=MLN","FA_ADJUSTED=Adjusted","Sort=A","Dates=H","DateFormat=P","Fill=—","Direction=H","UseDPDF=Y")</f>
        <v>169.59200000000001</v>
      </c>
      <c r="AA49" s="13">
        <f>_xll.BDH("AMZN US Equity","EBIT","FQ1 2005","FQ1 2005","Currency=USD","Period=FQ","BEST_FPERIOD_OVERRIDE=FQ","FILING_STATUS=OR","SCALING_FORMAT=MLN","FA_ADJUSTED=Adjusted","Sort=A","Dates=H","DateFormat=P","Fill=—","Direction=H","UseDPDF=Y")</f>
        <v>108</v>
      </c>
      <c r="AB49" s="13">
        <f>_xll.BDH("AMZN US Equity","EBIT","FQ2 2005","FQ2 2005","Currency=USD","Period=FQ","BEST_FPERIOD_OVERRIDE=FQ","FILING_STATUS=OR","SCALING_FORMAT=MLN","FA_ADJUSTED=Adjusted","Sort=A","Dates=H","DateFormat=P","Fill=—","Direction=H","UseDPDF=Y")</f>
        <v>104</v>
      </c>
      <c r="AC49" s="13">
        <f>_xll.BDH("AMZN US Equity","EBIT","FQ3 2005","FQ3 2005","Currency=USD","Period=FQ","BEST_FPERIOD_OVERRIDE=FQ","FILING_STATUS=OR","SCALING_FORMAT=MLN","FA_ADJUSTED=Adjusted","Sort=A","Dates=H","DateFormat=P","Fill=—","Direction=H","UseDPDF=Y")</f>
        <v>55</v>
      </c>
      <c r="AD49" s="13">
        <f>_xll.BDH("AMZN US Equity","EBIT","FQ4 2005","FQ4 2005","Currency=USD","Period=FQ","BEST_FPERIOD_OVERRIDE=FQ","FILING_STATUS=OR","SCALING_FORMAT=MLN","FA_ADJUSTED=Adjusted","Sort=A","Dates=H","DateFormat=P","Fill=—","Direction=H","UseDPDF=Y")</f>
        <v>165</v>
      </c>
      <c r="AE49" s="13">
        <f>_xll.BDH("AMZN US Equity","EBIT","FQ1 2006","FQ1 2006","Currency=USD","Period=FQ","BEST_FPERIOD_OVERRIDE=FQ","FILING_STATUS=OR","SCALING_FORMAT=MLN","FA_ADJUSTED=Adjusted","Sort=A","Dates=H","DateFormat=P","Fill=—","Direction=H","UseDPDF=Y")</f>
        <v>106</v>
      </c>
      <c r="AF49" s="13">
        <f>_xll.BDH("AMZN US Equity","EBIT","FQ2 2006","FQ2 2006","Currency=USD","Period=FQ","BEST_FPERIOD_OVERRIDE=FQ","FILING_STATUS=OR","SCALING_FORMAT=MLN","FA_ADJUSTED=Adjusted","Sort=A","Dates=H","DateFormat=P","Fill=—","Direction=H","UseDPDF=Y")</f>
        <v>47</v>
      </c>
      <c r="AG49" s="13">
        <f>_xll.BDH("AMZN US Equity","EBIT","FQ3 2006","FQ3 2006","Currency=USD","Period=FQ","BEST_FPERIOD_OVERRIDE=FQ","FILING_STATUS=OR","SCALING_FORMAT=MLN","FA_ADJUSTED=Adjusted","Sort=A","Dates=H","DateFormat=P","Fill=—","Direction=H","UseDPDF=Y")</f>
        <v>40</v>
      </c>
      <c r="AH49" s="13">
        <f>_xll.BDH("AMZN US Equity","EBIT","FQ4 2006","FQ4 2006","Currency=USD","Period=FQ","BEST_FPERIOD_OVERRIDE=FQ","FILING_STATUS=OR","SCALING_FORMAT=MLN","FA_ADJUSTED=Adjusted","Sort=A","Dates=H","DateFormat=P","Fill=—","Direction=H","UseDPDF=Y")</f>
        <v>196</v>
      </c>
      <c r="AI49" s="13">
        <f>_xll.BDH("AMZN US Equity","EBIT","FQ1 2007","FQ1 2007","Currency=USD","Period=FQ","BEST_FPERIOD_OVERRIDE=FQ","FILING_STATUS=OR","SCALING_FORMAT=MLN","FA_ADJUSTED=Adjusted","Sort=A","Dates=H","DateFormat=P","Fill=—","Direction=H","UseDPDF=Y")</f>
        <v>145</v>
      </c>
      <c r="AJ49" s="13">
        <f>_xll.BDH("AMZN US Equity","EBIT","FQ2 2007","FQ2 2007","Currency=USD","Period=FQ","BEST_FPERIOD_OVERRIDE=FQ","FILING_STATUS=OR","SCALING_FORMAT=MLN","FA_ADJUSTED=Adjusted","Sort=A","Dates=H","DateFormat=P","Fill=—","Direction=H","UseDPDF=Y")</f>
        <v>116</v>
      </c>
      <c r="AK49" s="13">
        <f>_xll.BDH("AMZN US Equity","EBIT","FQ3 2007","FQ3 2007","Currency=USD","Period=FQ","BEST_FPERIOD_OVERRIDE=FQ","FILING_STATUS=OR","SCALING_FORMAT=MLN","FA_ADJUSTED=Adjusted","Sort=A","Dates=H","DateFormat=P","Fill=—","Direction=H","UseDPDF=Y")</f>
        <v>123</v>
      </c>
      <c r="AL49" s="13">
        <f>_xll.BDH("AMZN US Equity","EBIT","FQ4 2007","FQ4 2007","Currency=USD","Period=FQ","BEST_FPERIOD_OVERRIDE=FQ","FILING_STATUS=OR","SCALING_FORMAT=MLN","FA_ADJUSTED=Adjusted","Sort=A","Dates=H","DateFormat=P","Fill=—","Direction=H","UseDPDF=Y")</f>
        <v>271</v>
      </c>
      <c r="AM49" s="13">
        <f>_xll.BDH("AMZN US Equity","EBIT","FQ1 2008","FQ1 2008","Currency=USD","Period=FQ","BEST_FPERIOD_OVERRIDE=FQ","FILING_STATUS=OR","SCALING_FORMAT=MLN","FA_ADJUSTED=Adjusted","Sort=A","Dates=H","DateFormat=P","Fill=—","Direction=H","UseDPDF=Y")</f>
        <v>198</v>
      </c>
      <c r="AN49" s="13">
        <f>_xll.BDH("AMZN US Equity","EBIT","FQ2 2008","FQ2 2008","Currency=USD","Period=FQ","BEST_FPERIOD_OVERRIDE=FQ","FILING_STATUS=OR","SCALING_FORMAT=MLN","FA_ADJUSTED=Adjusted","Sort=A","Dates=H","DateFormat=P","Fill=—","Direction=H","UseDPDF=Y")</f>
        <v>217</v>
      </c>
      <c r="AO49" s="13">
        <f>_xll.BDH("AMZN US Equity","EBIT","FQ3 2008","FQ3 2008","Currency=USD","Period=FQ","BEST_FPERIOD_OVERRIDE=FQ","FILING_STATUS=OR","SCALING_FORMAT=MLN","FA_ADJUSTED=Adjusted","Sort=A","Dates=H","DateFormat=P","Fill=—","Direction=H","UseDPDF=Y")</f>
        <v>154</v>
      </c>
      <c r="AP49" s="13">
        <f>_xll.BDH("AMZN US Equity","EBIT","FQ4 2008","FQ4 2008","Currency=USD","Period=FQ","BEST_FPERIOD_OVERRIDE=FQ","FILING_STATUS=OR","SCALING_FORMAT=MLN","FA_ADJUSTED=Adjusted","Sort=A","Dates=H","DateFormat=P","Fill=—","Direction=H","UseDPDF=Y")</f>
        <v>272</v>
      </c>
    </row>
    <row r="50" spans="1:42" x14ac:dyDescent="0.25">
      <c r="A50" s="10" t="s">
        <v>159</v>
      </c>
      <c r="B50" s="10" t="s">
        <v>160</v>
      </c>
      <c r="C50" s="14">
        <f>_xll.BDH("AMZN US Equity","GROSS_MARGIN","FQ4 1998","FQ4 1998","Currency=USD","Period=FQ","BEST_FPERIOD_OVERRIDE=FQ","FILING_STATUS=OR","FA_ADJUSTED=Adjusted","Sort=A","Dates=H","DateFormat=P","Fill=—","Direction=H","UseDPDF=Y")</f>
        <v>21.0869</v>
      </c>
      <c r="D50" s="14">
        <f>_xll.BDH("AMZN US Equity","GROSS_MARGIN","FQ1 1999","FQ1 1999","Currency=USD","Period=FQ","BEST_FPERIOD_OVERRIDE=FQ","FILING_STATUS=OR","FA_ADJUSTED=Adjusted","Sort=A","Dates=H","DateFormat=P","Fill=—","Direction=H","UseDPDF=Y")</f>
        <v>22.064499999999999</v>
      </c>
      <c r="E50" s="14">
        <f>_xll.BDH("AMZN US Equity","GROSS_MARGIN","FQ2 1999","FQ2 1999","Currency=USD","Period=FQ","BEST_FPERIOD_OVERRIDE=FQ","FILING_STATUS=OR","FA_ADJUSTED=Adjusted","Sort=A","Dates=H","DateFormat=P","Fill=—","Direction=H","UseDPDF=Y")</f>
        <v>21.480899999999998</v>
      </c>
      <c r="F50" s="14">
        <f>_xll.BDH("AMZN US Equity","GROSS_MARGIN","FQ3 1999","FQ3 1999","Currency=USD","Period=FQ","BEST_FPERIOD_OVERRIDE=FQ","FILING_STATUS=OR","FA_ADJUSTED=Adjusted","Sort=A","Dates=H","DateFormat=P","Fill=—","Direction=H","UseDPDF=Y")</f>
        <v>19.8093</v>
      </c>
      <c r="G50" s="14">
        <f>_xll.BDH("AMZN US Equity","GROSS_MARGIN","FQ4 1999","FQ4 1999","Currency=USD","Period=FQ","BEST_FPERIOD_OVERRIDE=FQ","FILING_STATUS=OR","FA_ADJUSTED=Adjusted","Sort=A","Dates=H","DateFormat=P","Fill=—","Direction=H","UseDPDF=Y")</f>
        <v>12.994199999999999</v>
      </c>
      <c r="H50" s="14">
        <f>_xll.BDH("AMZN US Equity","GROSS_MARGIN","FQ1 2000","FQ1 2000","Currency=USD","Period=FQ","BEST_FPERIOD_OVERRIDE=FQ","FILING_STATUS=OR","FA_ADJUSTED=Adjusted","Sort=A","Dates=H","DateFormat=P","Fill=—","Direction=H","UseDPDF=Y")</f>
        <v>22.327300000000001</v>
      </c>
      <c r="I50" s="14">
        <f>_xll.BDH("AMZN US Equity","GROSS_MARGIN","FQ3 2000","FQ3 2000","Currency=USD","Period=FQ","BEST_FPERIOD_OVERRIDE=FQ","FILING_STATUS=OR","FA_ADJUSTED=Adjusted","Sort=A","Dates=H","DateFormat=P","Fill=—","Direction=H","UseDPDF=Y")</f>
        <v>26.225100000000001</v>
      </c>
      <c r="J50" s="14">
        <f>_xll.BDH("AMZN US Equity","GROSS_MARGIN","FQ4 2000","FQ4 2000","Currency=USD","Period=FQ","BEST_FPERIOD_OVERRIDE=FQ","FILING_STATUS=OR","FA_ADJUSTED=Adjusted","Sort=A","Dates=H","DateFormat=P","Fill=—","Direction=H","UseDPDF=Y")</f>
        <v>23.067599999999999</v>
      </c>
      <c r="K50" s="14">
        <f>_xll.BDH("AMZN US Equity","GROSS_MARGIN","FQ1 2001","FQ1 2001","Currency=USD","Period=FQ","BEST_FPERIOD_OVERRIDE=FQ","FILING_STATUS=OR","FA_ADJUSTED=Adjusted","Sort=A","Dates=H","DateFormat=P","Fill=—","Direction=H","UseDPDF=Y")</f>
        <v>26.071999999999999</v>
      </c>
      <c r="L50" s="14">
        <f>_xll.BDH("AMZN US Equity","GROSS_MARGIN","FQ2 2001","FQ2 2001","Currency=USD","Period=FQ","BEST_FPERIOD_OVERRIDE=FQ","FILING_STATUS=OR","FA_ADJUSTED=Adjusted","Sort=A","Dates=H","DateFormat=P","Fill=—","Direction=H","UseDPDF=Y")</f>
        <v>26.9193</v>
      </c>
      <c r="M50" s="14">
        <f>_xll.BDH("AMZN US Equity","GROSS_MARGIN","FQ3 2001","FQ3 2001","Currency=USD","Period=FQ","BEST_FPERIOD_OVERRIDE=FQ","FILING_STATUS=OR","FA_ADJUSTED=Adjusted","Sort=A","Dates=H","DateFormat=P","Fill=—","Direction=H","UseDPDF=Y")</f>
        <v>25.370999999999999</v>
      </c>
      <c r="N50" s="14">
        <f>_xll.BDH("AMZN US Equity","GROSS_MARGIN","FQ4 2001","FQ4 2001","Currency=USD","Period=FQ","BEST_FPERIOD_OVERRIDE=FQ","FILING_STATUS=OR","FA_ADJUSTED=Adjusted","Sort=A","Dates=H","DateFormat=P","Fill=—","Direction=H","UseDPDF=Y")</f>
        <v>24.5746</v>
      </c>
      <c r="O50" s="14">
        <f>_xll.BDH("AMZN US Equity","GROSS_MARGIN","FQ1 2002","FQ1 2002","Currency=USD","Period=FQ","BEST_FPERIOD_OVERRIDE=FQ","FILING_STATUS=OR","FA_ADJUSTED=Adjusted","Sort=A","Dates=H","DateFormat=P","Fill=—","Direction=H","UseDPDF=Y")</f>
        <v>26.329899999999999</v>
      </c>
      <c r="P50" s="14">
        <f>_xll.BDH("AMZN US Equity","GROSS_MARGIN","FQ2 2002","FQ2 2002","Currency=USD","Period=FQ","BEST_FPERIOD_OVERRIDE=FQ","FILING_STATUS=OR","FA_ADJUSTED=Adjusted","Sort=A","Dates=H","DateFormat=P","Fill=—","Direction=H","UseDPDF=Y")</f>
        <v>27.081099999999999</v>
      </c>
      <c r="Q50" s="14">
        <f>_xll.BDH("AMZN US Equity","GROSS_MARGIN","FQ3 2002","FQ3 2002","Currency=USD","Period=FQ","BEST_FPERIOD_OVERRIDE=FQ","FILING_STATUS=OR","FA_ADJUSTED=Adjusted","Sort=A","Dates=H","DateFormat=P","Fill=—","Direction=H","UseDPDF=Y")</f>
        <v>25.392600000000002</v>
      </c>
      <c r="R50" s="14">
        <f>_xll.BDH("AMZN US Equity","GROSS_MARGIN","FQ4 2002","FQ4 2002","Currency=USD","Period=FQ","BEST_FPERIOD_OVERRIDE=FQ","FILING_STATUS=OR","FA_ADJUSTED=Adjusted","Sort=A","Dates=H","DateFormat=P","Fill=—","Direction=H","UseDPDF=Y")</f>
        <v>23.4605</v>
      </c>
      <c r="S50" s="14">
        <f>_xll.BDH("AMZN US Equity","GROSS_MARGIN","FQ1 2003","FQ1 2003","Currency=USD","Period=FQ","BEST_FPERIOD_OVERRIDE=FQ","FILING_STATUS=OR","FA_ADJUSTED=Adjusted","Sort=A","Dates=H","DateFormat=P","Fill=—","Direction=H","UseDPDF=Y")</f>
        <v>24.971599999999999</v>
      </c>
      <c r="T50" s="14">
        <f>_xll.BDH("AMZN US Equity","GROSS_MARGIN","FQ2 2003","FQ2 2003","Currency=USD","Period=FQ","BEST_FPERIOD_OVERRIDE=FQ","FILING_STATUS=OR","FA_ADJUSTED=Adjusted","Sort=A","Dates=H","DateFormat=P","Fill=—","Direction=H","UseDPDF=Y")</f>
        <v>24.904499999999999</v>
      </c>
      <c r="U50" s="14">
        <f>_xll.BDH("AMZN US Equity","GROSS_MARGIN","FQ3 2003","FQ3 2003","Currency=USD","Period=FQ","BEST_FPERIOD_OVERRIDE=FQ","FILING_STATUS=OR","FA_ADJUSTED=Adjusted","Sort=A","Dates=H","DateFormat=P","Fill=—","Direction=H","UseDPDF=Y")</f>
        <v>25.194500000000001</v>
      </c>
      <c r="V50" s="14">
        <f>_xll.BDH("AMZN US Equity","GROSS_MARGIN","FQ4 2003","FQ4 2003","Currency=USD","Period=FQ","BEST_FPERIOD_OVERRIDE=FQ","FILING_STATUS=OR","FA_ADJUSTED=Adjusted","Sort=A","Dates=H","DateFormat=P","Fill=—","Direction=H","UseDPDF=Y")</f>
        <v>21.936599999999999</v>
      </c>
      <c r="W50" s="14">
        <f>_xll.BDH("AMZN US Equity","GROSS_MARGIN","FQ1 2004","FQ1 2004","Currency=USD","Period=FQ","BEST_FPERIOD_OVERRIDE=FQ","FILING_STATUS=OR","FA_ADJUSTED=Adjusted","Sort=A","Dates=H","DateFormat=P","Fill=—","Direction=H","UseDPDF=Y")</f>
        <v>23.578499999999998</v>
      </c>
      <c r="X50" s="14">
        <f>_xll.BDH("AMZN US Equity","GROSS_MARGIN","FQ2 2004","FQ2 2004","Currency=USD","Period=FQ","BEST_FPERIOD_OVERRIDE=FQ","FILING_STATUS=OR","FA_ADJUSTED=Adjusted","Sort=A","Dates=H","DateFormat=P","Fill=—","Direction=H","UseDPDF=Y")</f>
        <v>24.582699999999999</v>
      </c>
      <c r="Y50" s="14">
        <f>_xll.BDH("AMZN US Equity","GROSS_MARGIN","FQ3 2004","FQ3 2004","Currency=USD","Period=FQ","BEST_FPERIOD_OVERRIDE=FQ","FILING_STATUS=OR","FA_ADJUSTED=Adjusted","Sort=A","Dates=H","DateFormat=P","Fill=—","Direction=H","UseDPDF=Y")</f>
        <v>24.3184</v>
      </c>
      <c r="Z50" s="14">
        <f>_xll.BDH("AMZN US Equity","GROSS_MARGIN","FQ4 2004","FQ4 2004","Currency=USD","Period=FQ","BEST_FPERIOD_OVERRIDE=FQ","FILING_STATUS=OR","FA_ADJUSTED=Adjusted","Sort=A","Dates=H","DateFormat=P","Fill=—","Direction=H","UseDPDF=Y")</f>
        <v>21.427599999999998</v>
      </c>
      <c r="AA50" s="14">
        <f>_xll.BDH("AMZN US Equity","GROSS_MARGIN","FQ1 2005","FQ1 2005","Currency=USD","Period=FQ","BEST_FPERIOD_OVERRIDE=FQ","FILING_STATUS=OR","FA_ADJUSTED=Adjusted","Sort=A","Dates=H","DateFormat=P","Fill=—","Direction=H","UseDPDF=Y")</f>
        <v>24.079899999999999</v>
      </c>
      <c r="AB50" s="14">
        <f>_xll.BDH("AMZN US Equity","GROSS_MARGIN","FQ2 2005","FQ2 2005","Currency=USD","Period=FQ","BEST_FPERIOD_OVERRIDE=FQ","FILING_STATUS=OR","FA_ADJUSTED=Adjusted","Sort=A","Dates=H","DateFormat=P","Fill=—","Direction=H","UseDPDF=Y")</f>
        <v>25.670300000000001</v>
      </c>
      <c r="AC50" s="14">
        <f>_xll.BDH("AMZN US Equity","GROSS_MARGIN","FQ3 2005","FQ3 2005","Currency=USD","Period=FQ","BEST_FPERIOD_OVERRIDE=FQ","FILING_STATUS=OR","FA_ADJUSTED=Adjusted","Sort=A","Dates=H","DateFormat=P","Fill=—","Direction=H","UseDPDF=Y")</f>
        <v>24.9193</v>
      </c>
      <c r="AD50" s="14">
        <f>_xll.BDH("AMZN US Equity","GROSS_MARGIN","FQ4 2005","FQ4 2005","Currency=USD","Period=FQ","BEST_FPERIOD_OVERRIDE=FQ","FILING_STATUS=OR","FA_ADJUSTED=Adjusted","Sort=A","Dates=H","DateFormat=P","Fill=—","Direction=H","UseDPDF=Y")</f>
        <v>22.405100000000001</v>
      </c>
      <c r="AE50" s="14">
        <f>_xll.BDH("AMZN US Equity","GROSS_MARGIN","FQ1 2006","FQ1 2006","Currency=USD","Period=FQ","BEST_FPERIOD_OVERRIDE=FQ","FILING_STATUS=OR","FA_ADJUSTED=Adjusted","Sort=A","Dates=H","DateFormat=P","Fill=—","Direction=H","UseDPDF=Y")</f>
        <v>24.001799999999999</v>
      </c>
      <c r="AF50" s="14">
        <f>_xll.BDH("AMZN US Equity","GROSS_MARGIN","FQ2 2006","FQ2 2006","Currency=USD","Period=FQ","BEST_FPERIOD_OVERRIDE=FQ","FILING_STATUS=OR","FA_ADJUSTED=Adjusted","Sort=A","Dates=H","DateFormat=P","Fill=—","Direction=H","UseDPDF=Y")</f>
        <v>23.796199999999999</v>
      </c>
      <c r="AG50" s="14">
        <f>_xll.BDH("AMZN US Equity","GROSS_MARGIN","FQ3 2006","FQ3 2006","Currency=USD","Period=FQ","BEST_FPERIOD_OVERRIDE=FQ","FILING_STATUS=OR","FA_ADJUSTED=Adjusted","Sort=A","Dates=H","DateFormat=P","Fill=—","Direction=H","UseDPDF=Y")</f>
        <v>23.7971</v>
      </c>
      <c r="AH50" s="14">
        <f>_xll.BDH("AMZN US Equity","GROSS_MARGIN","FQ4 2006","FQ4 2006","Currency=USD","Period=FQ","BEST_FPERIOD_OVERRIDE=FQ","FILING_STATUS=OR","FA_ADJUSTED=Adjusted","Sort=A","Dates=H","DateFormat=P","Fill=—","Direction=H","UseDPDF=Y")</f>
        <v>21.349699999999999</v>
      </c>
      <c r="AI50" s="14">
        <f>_xll.BDH("AMZN US Equity","GROSS_MARGIN","FQ1 2007","FQ1 2007","Currency=USD","Period=FQ","BEST_FPERIOD_OVERRIDE=FQ","FILING_STATUS=OR","FA_ADJUSTED=Adjusted","Sort=A","Dates=H","DateFormat=P","Fill=—","Direction=H","UseDPDF=Y")</f>
        <v>23.8474</v>
      </c>
      <c r="AJ50" s="14">
        <f>_xll.BDH("AMZN US Equity","GROSS_MARGIN","FQ2 2007","FQ2 2007","Currency=USD","Period=FQ","BEST_FPERIOD_OVERRIDE=FQ","FILING_STATUS=OR","FA_ADJUSTED=Adjusted","Sort=A","Dates=H","DateFormat=P","Fill=—","Direction=H","UseDPDF=Y")</f>
        <v>24.2897</v>
      </c>
      <c r="AK50" s="14">
        <f>_xll.BDH("AMZN US Equity","GROSS_MARGIN","FQ3 2007","FQ3 2007","Currency=USD","Period=FQ","BEST_FPERIOD_OVERRIDE=FQ","FILING_STATUS=OR","FA_ADJUSTED=Adjusted","Sort=A","Dates=H","DateFormat=P","Fill=—","Direction=H","UseDPDF=Y")</f>
        <v>23.3599</v>
      </c>
      <c r="AL50" s="14">
        <f>_xll.BDH("AMZN US Equity","GROSS_MARGIN","FQ4 2007","FQ4 2007","Currency=USD","Period=FQ","BEST_FPERIOD_OVERRIDE=FQ","FILING_STATUS=OR","FA_ADJUSTED=Adjusted","Sort=A","Dates=H","DateFormat=P","Fill=—","Direction=H","UseDPDF=Y")</f>
        <v>20.623999999999999</v>
      </c>
      <c r="AM50" s="14">
        <f>_xll.BDH("AMZN US Equity","GROSS_MARGIN","FQ1 2008","FQ1 2008","Currency=USD","Period=FQ","BEST_FPERIOD_OVERRIDE=FQ","FILING_STATUS=OR","FA_ADJUSTED=Adjusted","Sort=A","Dates=H","DateFormat=P","Fill=—","Direction=H","UseDPDF=Y")</f>
        <v>23.119700000000002</v>
      </c>
      <c r="AN50" s="14">
        <f>_xll.BDH("AMZN US Equity","GROSS_MARGIN","FQ2 2008","FQ2 2008","Currency=USD","Period=FQ","BEST_FPERIOD_OVERRIDE=FQ","FILING_STATUS=OR","FA_ADJUSTED=Adjusted","Sort=A","Dates=H","DateFormat=P","Fill=—","Direction=H","UseDPDF=Y")</f>
        <v>23.8001</v>
      </c>
      <c r="AO50" s="14">
        <f>_xll.BDH("AMZN US Equity","GROSS_MARGIN","FQ3 2008","FQ3 2008","Currency=USD","Period=FQ","BEST_FPERIOD_OVERRIDE=FQ","FILING_STATUS=OR","FA_ADJUSTED=Adjusted","Sort=A","Dates=H","DateFormat=P","Fill=—","Direction=H","UseDPDF=Y")</f>
        <v>23.428699999999999</v>
      </c>
      <c r="AP50" s="14">
        <f>_xll.BDH("AMZN US Equity","GROSS_MARGIN","FQ4 2008","FQ4 2008","Currency=USD","Period=FQ","BEST_FPERIOD_OVERRIDE=FQ","FILING_STATUS=OR","FA_ADJUSTED=Adjusted","Sort=A","Dates=H","DateFormat=P","Fill=—","Direction=H","UseDPDF=Y")</f>
        <v>20.107399999999998</v>
      </c>
    </row>
    <row r="51" spans="1:42" x14ac:dyDescent="0.25">
      <c r="A51" s="10" t="s">
        <v>161</v>
      </c>
      <c r="B51" s="10" t="s">
        <v>162</v>
      </c>
      <c r="C51" s="14">
        <f>_xll.BDH("AMZN US Equity","OPER_MARGIN","FQ4 1998","FQ4 1998","Currency=USD","Period=FQ","BEST_FPERIOD_OVERRIDE=FQ","FILING_STATUS=OR","FA_ADJUSTED=Adjusted","Sort=A","Dates=H","DateFormat=P","Fill=—","Direction=H","UseDPDF=Y")</f>
        <v>-7.1193</v>
      </c>
      <c r="D51" s="14">
        <f>_xll.BDH("AMZN US Equity","OPER_MARGIN","FQ1 1999","FQ1 1999","Currency=USD","Period=FQ","BEST_FPERIOD_OVERRIDE=FQ","FILING_STATUS=OR","FA_ADJUSTED=Adjusted","Sort=A","Dates=H","DateFormat=P","Fill=—","Direction=H","UseDPDF=Y")</f>
        <v>-17.565200000000001</v>
      </c>
      <c r="E51" s="14">
        <f>_xll.BDH("AMZN US Equity","OPER_MARGIN","FQ2 1999","FQ2 1999","Currency=USD","Period=FQ","BEST_FPERIOD_OVERRIDE=FQ","FILING_STATUS=OR","FA_ADJUSTED=Adjusted","Sort=A","Dates=H","DateFormat=P","Fill=—","Direction=H","UseDPDF=Y")</f>
        <v>-34.694299999999998</v>
      </c>
      <c r="F51" s="14">
        <f>_xll.BDH("AMZN US Equity","OPER_MARGIN","FQ3 1999","FQ3 1999","Currency=USD","Period=FQ","BEST_FPERIOD_OVERRIDE=FQ","FILING_STATUS=OR","FA_ADJUSTED=Adjusted","Sort=A","Dates=H","DateFormat=P","Fill=—","Direction=H","UseDPDF=Y")</f>
        <v>-46.470100000000002</v>
      </c>
      <c r="G51" s="14">
        <f>_xll.BDH("AMZN US Equity","OPER_MARGIN","FQ4 1999","FQ4 1999","Currency=USD","Period=FQ","BEST_FPERIOD_OVERRIDE=FQ","FILING_STATUS=OR","FA_ADJUSTED=Adjusted","Sort=A","Dates=H","DateFormat=P","Fill=—","Direction=H","UseDPDF=Y")</f>
        <v>-12.156000000000001</v>
      </c>
      <c r="H51" s="14">
        <f>_xll.BDH("AMZN US Equity","OPER_MARGIN","FQ1 2000","FQ1 2000","Currency=USD","Period=FQ","BEST_FPERIOD_OVERRIDE=FQ","FILING_STATUS=OR","FA_ADJUSTED=Adjusted","Sort=A","Dates=H","DateFormat=P","Fill=—","Direction=H","UseDPDF=Y")</f>
        <v>-34.130800000000001</v>
      </c>
      <c r="I51" s="14">
        <f>_xll.BDH("AMZN US Equity","OPER_MARGIN","FQ3 2000","FQ3 2000","Currency=USD","Period=FQ","BEST_FPERIOD_OVERRIDE=FQ","FILING_STATUS=OR","FA_ADJUSTED=Adjusted","Sort=A","Dates=H","DateFormat=P","Fill=—","Direction=H","UseDPDF=Y")</f>
        <v>-23.7865</v>
      </c>
      <c r="J51" s="14">
        <f>_xll.BDH("AMZN US Equity","OPER_MARGIN","FQ4 2000","FQ4 2000","Currency=USD","Period=FQ","BEST_FPERIOD_OVERRIDE=FQ","FILING_STATUS=OR","FA_ADJUSTED=Adjusted","Sort=A","Dates=H","DateFormat=P","Fill=—","Direction=H","UseDPDF=Y")</f>
        <v>-14.1968</v>
      </c>
      <c r="K51" s="14">
        <f>_xll.BDH("AMZN US Equity","OPER_MARGIN","FQ1 2001","FQ1 2001","Currency=USD","Period=FQ","BEST_FPERIOD_OVERRIDE=FQ","FILING_STATUS=OR","FA_ADJUSTED=Adjusted","Sort=A","Dates=H","DateFormat=P","Fill=—","Direction=H","UseDPDF=Y")</f>
        <v>-14.6137</v>
      </c>
      <c r="L51" s="14">
        <f>_xll.BDH("AMZN US Equity","OPER_MARGIN","FQ2 2001","FQ2 2001","Currency=USD","Period=FQ","BEST_FPERIOD_OVERRIDE=FQ","FILING_STATUS=OR","FA_ADJUSTED=Adjusted","Sort=A","Dates=H","DateFormat=P","Fill=—","Direction=H","UseDPDF=Y")</f>
        <v>-12.161</v>
      </c>
      <c r="M51" s="14">
        <f>_xll.BDH("AMZN US Equity","OPER_MARGIN","FQ3 2001","FQ3 2001","Currency=USD","Period=FQ","BEST_FPERIOD_OVERRIDE=FQ","FILING_STATUS=OR","FA_ADJUSTED=Adjusted","Sort=A","Dates=H","DateFormat=P","Fill=—","Direction=H","UseDPDF=Y")</f>
        <v>-10.3773</v>
      </c>
      <c r="N51" s="14">
        <f>_xll.BDH("AMZN US Equity","OPER_MARGIN","FQ4 2001","FQ4 2001","Currency=USD","Period=FQ","BEST_FPERIOD_OVERRIDE=FQ","FILING_STATUS=OR","FA_ADJUSTED=Adjusted","Sort=A","Dates=H","DateFormat=P","Fill=—","Direction=H","UseDPDF=Y")</f>
        <v>1.9523999999999999</v>
      </c>
      <c r="O51" s="14">
        <f>_xll.BDH("AMZN US Equity","OPER_MARGIN","FQ1 2002","FQ1 2002","Currency=USD","Period=FQ","BEST_FPERIOD_OVERRIDE=FQ","FILING_STATUS=OR","FA_ADJUSTED=Adjusted","Sort=A","Dates=H","DateFormat=P","Fill=—","Direction=H","UseDPDF=Y")</f>
        <v>1.3862999999999999</v>
      </c>
      <c r="P51" s="14">
        <f>_xll.BDH("AMZN US Equity","OPER_MARGIN","FQ2 2002","FQ2 2002","Currency=USD","Period=FQ","BEST_FPERIOD_OVERRIDE=FQ","FILING_STATUS=OR","FA_ADJUSTED=Adjusted","Sort=A","Dates=H","DateFormat=P","Fill=—","Direction=H","UseDPDF=Y")</f>
        <v>0.1827</v>
      </c>
      <c r="Q51" s="14">
        <f>_xll.BDH("AMZN US Equity","OPER_MARGIN","FQ3 2002","FQ3 2002","Currency=USD","Period=FQ","BEST_FPERIOD_OVERRIDE=FQ","FILING_STATUS=OR","FA_ADJUSTED=Adjusted","Sort=A","Dates=H","DateFormat=P","Fill=—","Direction=H","UseDPDF=Y")</f>
        <v>3.1848000000000001</v>
      </c>
      <c r="R51" s="14">
        <f>_xll.BDH("AMZN US Equity","OPER_MARGIN","FQ4 2002","FQ4 2002","Currency=USD","Period=FQ","BEST_FPERIOD_OVERRIDE=FQ","FILING_STATUS=OR","FA_ADJUSTED=Adjusted","Sort=A","Dates=H","DateFormat=P","Fill=—","Direction=H","UseDPDF=Y")</f>
        <v>4.5754000000000001</v>
      </c>
      <c r="S51" s="14">
        <f>_xll.BDH("AMZN US Equity","OPER_MARGIN","FQ1 2003","FQ1 2003","Currency=USD","Period=FQ","BEST_FPERIOD_OVERRIDE=FQ","FILING_STATUS=OR","FA_ADJUSTED=Adjusted","Sort=A","Dates=H","DateFormat=P","Fill=—","Direction=H","UseDPDF=Y")</f>
        <v>3.62</v>
      </c>
      <c r="T51" s="14">
        <f>_xll.BDH("AMZN US Equity","OPER_MARGIN","FQ2 2003","FQ2 2003","Currency=USD","Period=FQ","BEST_FPERIOD_OVERRIDE=FQ","FILING_STATUS=OR","FA_ADJUSTED=Adjusted","Sort=A","Dates=H","DateFormat=P","Fill=—","Direction=H","UseDPDF=Y")</f>
        <v>3.8024</v>
      </c>
      <c r="U51" s="14">
        <f>_xll.BDH("AMZN US Equity","OPER_MARGIN","FQ3 2003","FQ3 2003","Currency=USD","Period=FQ","BEST_FPERIOD_OVERRIDE=FQ","FILING_STATUS=OR","FA_ADJUSTED=Adjusted","Sort=A","Dates=H","DateFormat=P","Fill=—","Direction=H","UseDPDF=Y")</f>
        <v>4.5776000000000003</v>
      </c>
      <c r="V51" s="14">
        <f>_xll.BDH("AMZN US Equity","OPER_MARGIN","FQ4 2003","FQ4 2003","Currency=USD","Period=FQ","BEST_FPERIOD_OVERRIDE=FQ","FILING_STATUS=OR","FA_ADJUSTED=Adjusted","Sort=A","Dates=H","DateFormat=P","Fill=—","Direction=H","UseDPDF=Y")</f>
        <v>7.0797999999999996</v>
      </c>
      <c r="W51" s="14">
        <f>_xll.BDH("AMZN US Equity","OPER_MARGIN","FQ1 2004","FQ1 2004","Currency=USD","Period=FQ","BEST_FPERIOD_OVERRIDE=FQ","FILING_STATUS=OR","FA_ADJUSTED=Adjusted","Sort=A","Dates=H","DateFormat=P","Fill=—","Direction=H","UseDPDF=Y")</f>
        <v>7.2163000000000004</v>
      </c>
      <c r="X51" s="14">
        <f>_xll.BDH("AMZN US Equity","OPER_MARGIN","FQ2 2004","FQ2 2004","Currency=USD","Period=FQ","BEST_FPERIOD_OVERRIDE=FQ","FILING_STATUS=OR","FA_ADJUSTED=Adjusted","Sort=A","Dates=H","DateFormat=P","Fill=—","Direction=H","UseDPDF=Y")</f>
        <v>5.7033000000000005</v>
      </c>
      <c r="Y51" s="14">
        <f>_xll.BDH("AMZN US Equity","OPER_MARGIN","FQ3 2004","FQ3 2004","Currency=USD","Period=FQ","BEST_FPERIOD_OVERRIDE=FQ","FILING_STATUS=OR","FA_ADJUSTED=Adjusted","Sort=A","Dates=H","DateFormat=P","Fill=—","Direction=H","UseDPDF=Y")</f>
        <v>5.5572999999999997</v>
      </c>
      <c r="Z51" s="14">
        <f>_xll.BDH("AMZN US Equity","OPER_MARGIN","FQ4 2004","FQ4 2004","Currency=USD","Period=FQ","BEST_FPERIOD_OVERRIDE=FQ","FILING_STATUS=OR","FA_ADJUSTED=Adjusted","Sort=A","Dates=H","DateFormat=P","Fill=—","Direction=H","UseDPDF=Y")</f>
        <v>6.6742999999999997</v>
      </c>
      <c r="AA51" s="14">
        <f>_xll.BDH("AMZN US Equity","OPER_MARGIN","FQ1 2005","FQ1 2005","Currency=USD","Period=FQ","BEST_FPERIOD_OVERRIDE=FQ","FILING_STATUS=OR","FA_ADJUSTED=Adjusted","Sort=A","Dates=H","DateFormat=P","Fill=—","Direction=H","UseDPDF=Y")</f>
        <v>5.6782000000000004</v>
      </c>
      <c r="AB51" s="14">
        <f>_xll.BDH("AMZN US Equity","OPER_MARGIN","FQ2 2005","FQ2 2005","Currency=USD","Period=FQ","BEST_FPERIOD_OVERRIDE=FQ","FILING_STATUS=OR","FA_ADJUSTED=Adjusted","Sort=A","Dates=H","DateFormat=P","Fill=—","Direction=H","UseDPDF=Y")</f>
        <v>5.9326999999999996</v>
      </c>
      <c r="AC51" s="14">
        <f>_xll.BDH("AMZN US Equity","OPER_MARGIN","FQ3 2005","FQ3 2005","Currency=USD","Period=FQ","BEST_FPERIOD_OVERRIDE=FQ","FILING_STATUS=OR","FA_ADJUSTED=Adjusted","Sort=A","Dates=H","DateFormat=P","Fill=—","Direction=H","UseDPDF=Y")</f>
        <v>2.9601999999999999</v>
      </c>
      <c r="AD51" s="14">
        <f>_xll.BDH("AMZN US Equity","OPER_MARGIN","FQ4 2005","FQ4 2005","Currency=USD","Period=FQ","BEST_FPERIOD_OVERRIDE=FQ","FILING_STATUS=OR","FA_ADJUSTED=Adjusted","Sort=A","Dates=H","DateFormat=P","Fill=—","Direction=H","UseDPDF=Y")</f>
        <v>5.5425000000000004</v>
      </c>
      <c r="AE51" s="14">
        <f>_xll.BDH("AMZN US Equity","OPER_MARGIN","FQ1 2006","FQ1 2006","Currency=USD","Period=FQ","BEST_FPERIOD_OVERRIDE=FQ","FILING_STATUS=OR","FA_ADJUSTED=Adjusted","Sort=A","Dates=H","DateFormat=P","Fill=—","Direction=H","UseDPDF=Y")</f>
        <v>4.6512000000000002</v>
      </c>
      <c r="AF51" s="14">
        <f>_xll.BDH("AMZN US Equity","OPER_MARGIN","FQ2 2006","FQ2 2006","Currency=USD","Period=FQ","BEST_FPERIOD_OVERRIDE=FQ","FILING_STATUS=OR","FA_ADJUSTED=Adjusted","Sort=A","Dates=H","DateFormat=P","Fill=—","Direction=H","UseDPDF=Y")</f>
        <v>2.1972999999999998</v>
      </c>
      <c r="AG51" s="14">
        <f>_xll.BDH("AMZN US Equity","OPER_MARGIN","FQ3 2006","FQ3 2006","Currency=USD","Period=FQ","BEST_FPERIOD_OVERRIDE=FQ","FILING_STATUS=OR","FA_ADJUSTED=Adjusted","Sort=A","Dates=H","DateFormat=P","Fill=—","Direction=H","UseDPDF=Y")</f>
        <v>1.7339</v>
      </c>
      <c r="AH51" s="14">
        <f>_xll.BDH("AMZN US Equity","OPER_MARGIN","FQ4 2006","FQ4 2006","Currency=USD","Period=FQ","BEST_FPERIOD_OVERRIDE=FQ","FILING_STATUS=OR","FA_ADJUSTED=Adjusted","Sort=A","Dates=H","DateFormat=P","Fill=—","Direction=H","UseDPDF=Y")</f>
        <v>4.9172000000000002</v>
      </c>
      <c r="AI51" s="14">
        <f>_xll.BDH("AMZN US Equity","OPER_MARGIN","FQ1 2007","FQ1 2007","Currency=USD","Period=FQ","BEST_FPERIOD_OVERRIDE=FQ","FILING_STATUS=OR","FA_ADJUSTED=Adjusted","Sort=A","Dates=H","DateFormat=P","Fill=—","Direction=H","UseDPDF=Y")</f>
        <v>4.8093000000000004</v>
      </c>
      <c r="AJ51" s="14">
        <f>_xll.BDH("AMZN US Equity","OPER_MARGIN","FQ2 2007","FQ2 2007","Currency=USD","Period=FQ","BEST_FPERIOD_OVERRIDE=FQ","FILING_STATUS=OR","FA_ADJUSTED=Adjusted","Sort=A","Dates=H","DateFormat=P","Fill=—","Direction=H","UseDPDF=Y")</f>
        <v>4.0194000000000001</v>
      </c>
      <c r="AK51" s="14">
        <f>_xll.BDH("AMZN US Equity","OPER_MARGIN","FQ3 2007","FQ3 2007","Currency=USD","Period=FQ","BEST_FPERIOD_OVERRIDE=FQ","FILING_STATUS=OR","FA_ADJUSTED=Adjusted","Sort=A","Dates=H","DateFormat=P","Fill=—","Direction=H","UseDPDF=Y")</f>
        <v>3.7707000000000002</v>
      </c>
      <c r="AL51" s="14">
        <f>_xll.BDH("AMZN US Equity","OPER_MARGIN","FQ4 2007","FQ4 2007","Currency=USD","Period=FQ","BEST_FPERIOD_OVERRIDE=FQ","FILING_STATUS=OR","FA_ADJUSTED=Adjusted","Sort=A","Dates=H","DateFormat=P","Fill=—","Direction=H","UseDPDF=Y")</f>
        <v>4.7770000000000001</v>
      </c>
      <c r="AM51" s="14">
        <f>_xll.BDH("AMZN US Equity","OPER_MARGIN","FQ1 2008","FQ1 2008","Currency=USD","Period=FQ","BEST_FPERIOD_OVERRIDE=FQ","FILING_STATUS=OR","FA_ADJUSTED=Adjusted","Sort=A","Dates=H","DateFormat=P","Fill=—","Direction=H","UseDPDF=Y")</f>
        <v>4.7884000000000002</v>
      </c>
      <c r="AN51" s="14">
        <f>_xll.BDH("AMZN US Equity","OPER_MARGIN","FQ2 2008","FQ2 2008","Currency=USD","Period=FQ","BEST_FPERIOD_OVERRIDE=FQ","FILING_STATUS=OR","FA_ADJUSTED=Adjusted","Sort=A","Dates=H","DateFormat=P","Fill=—","Direction=H","UseDPDF=Y")</f>
        <v>5.3408999999999995</v>
      </c>
      <c r="AO51" s="14">
        <f>_xll.BDH("AMZN US Equity","OPER_MARGIN","FQ3 2008","FQ3 2008","Currency=USD","Period=FQ","BEST_FPERIOD_OVERRIDE=FQ","FILING_STATUS=OR","FA_ADJUSTED=Adjusted","Sort=A","Dates=H","DateFormat=P","Fill=—","Direction=H","UseDPDF=Y")</f>
        <v>3.6116000000000001</v>
      </c>
      <c r="AP51" s="14">
        <f>_xll.BDH("AMZN US Equity","OPER_MARGIN","FQ4 2008","FQ4 2008","Currency=USD","Period=FQ","BEST_FPERIOD_OVERRIDE=FQ","FILING_STATUS=OR","FA_ADJUSTED=Adjusted","Sort=A","Dates=H","DateFormat=P","Fill=—","Direction=H","UseDPDF=Y")</f>
        <v>4.0572999999999997</v>
      </c>
    </row>
    <row r="52" spans="1:42" x14ac:dyDescent="0.25">
      <c r="A52" s="10" t="s">
        <v>163</v>
      </c>
      <c r="B52" s="10" t="s">
        <v>164</v>
      </c>
      <c r="C52" s="14">
        <f>_xll.BDH("AMZN US Equity","PROF_MARGIN","FQ4 1998","FQ4 1998","Currency=USD","Period=FQ","BEST_FPERIOD_OVERRIDE=FQ","FILING_STATUS=OR","FA_ADJUSTED=Adjusted","Sort=A","Dates=H","DateFormat=P","Fill=—","Direction=H","UseDPDF=Y")</f>
        <v>-18.366700000000002</v>
      </c>
      <c r="D52" s="14">
        <f>_xll.BDH("AMZN US Equity","PROF_MARGIN","FQ1 1999","FQ1 1999","Currency=USD","Period=FQ","BEST_FPERIOD_OVERRIDE=FQ","FILING_STATUS=OR","FA_ADJUSTED=Adjusted","Sort=A","Dates=H","DateFormat=P","Fill=—","Direction=H","UseDPDF=Y")</f>
        <v>-21.000699999999998</v>
      </c>
      <c r="E52" s="14">
        <f>_xll.BDH("AMZN US Equity","PROF_MARGIN","FQ2 1999","FQ2 1999","Currency=USD","Period=FQ","BEST_FPERIOD_OVERRIDE=FQ","FILING_STATUS=OR","FA_ADJUSTED=Adjusted","Sort=A","Dates=H","DateFormat=P","Fill=—","Direction=H","UseDPDF=Y")</f>
        <v>-43.898899999999998</v>
      </c>
      <c r="F52" s="14">
        <f>_xll.BDH("AMZN US Equity","PROF_MARGIN","FQ3 1999","FQ3 1999","Currency=USD","Period=FQ","BEST_FPERIOD_OVERRIDE=FQ","FILING_STATUS=OR","FA_ADJUSTED=Adjusted","Sort=A","Dates=H","DateFormat=P","Fill=—","Direction=H","UseDPDF=Y")</f>
        <v>-55.394199999999998</v>
      </c>
      <c r="G52" s="14">
        <f>_xll.BDH("AMZN US Equity","PROF_MARGIN","FQ4 1999","FQ4 1999","Currency=USD","Period=FQ","BEST_FPERIOD_OVERRIDE=FQ","FILING_STATUS=OR","FA_ADJUSTED=Adjusted","Sort=A","Dates=H","DateFormat=P","Fill=—","Direction=H","UseDPDF=Y")</f>
        <v>-47.809600000000003</v>
      </c>
      <c r="H52" s="14">
        <f>_xll.BDH("AMZN US Equity","PROF_MARGIN","FQ1 2000","FQ1 2000","Currency=USD","Period=FQ","BEST_FPERIOD_OVERRIDE=FQ","FILING_STATUS=OR","FA_ADJUSTED=Adjusted","Sort=A","Dates=H","DateFormat=P","Fill=—","Direction=H","UseDPDF=Y")</f>
        <v>-53.743000000000002</v>
      </c>
      <c r="I52" s="14">
        <f>_xll.BDH("AMZN US Equity","PROF_MARGIN","FQ3 2000","FQ3 2000","Currency=USD","Period=FQ","BEST_FPERIOD_OVERRIDE=FQ","FILING_STATUS=OR","FA_ADJUSTED=Adjusted","Sort=A","Dates=H","DateFormat=P","Fill=—","Direction=H","UseDPDF=Y")</f>
        <v>-37.708100000000002</v>
      </c>
      <c r="J52" s="14">
        <f>_xll.BDH("AMZN US Equity","PROF_MARGIN","FQ4 2000","FQ4 2000","Currency=USD","Period=FQ","BEST_FPERIOD_OVERRIDE=FQ","FILING_STATUS=OR","FA_ADJUSTED=Adjusted","Sort=A","Dates=H","DateFormat=P","Fill=—","Direction=H","UseDPDF=Y")</f>
        <v>-56.063600000000001</v>
      </c>
      <c r="K52" s="14">
        <f>_xll.BDH("AMZN US Equity","PROF_MARGIN","FQ1 2001","FQ1 2001","Currency=USD","Period=FQ","BEST_FPERIOD_OVERRIDE=FQ","FILING_STATUS=OR","FA_ADJUSTED=Adjusted","Sort=A","Dates=H","DateFormat=P","Fill=—","Direction=H","UseDPDF=Y")</f>
        <v>-33.430300000000003</v>
      </c>
      <c r="L52" s="14">
        <f>_xll.BDH("AMZN US Equity","PROF_MARGIN","FQ2 2001","FQ2 2001","Currency=USD","Period=FQ","BEST_FPERIOD_OVERRIDE=FQ","FILING_STATUS=OR","FA_ADJUSTED=Adjusted","Sort=A","Dates=H","DateFormat=P","Fill=—","Direction=H","UseDPDF=Y")</f>
        <v>-25.217600000000001</v>
      </c>
      <c r="M52" s="14">
        <f>_xll.BDH("AMZN US Equity","PROF_MARGIN","FQ3 2001","FQ3 2001","Currency=USD","Period=FQ","BEST_FPERIOD_OVERRIDE=FQ","FILING_STATUS=OR","FA_ADJUSTED=Adjusted","Sort=A","Dates=H","DateFormat=P","Fill=—","Direction=H","UseDPDF=Y")</f>
        <v>-26.572700000000001</v>
      </c>
      <c r="N52" s="14">
        <f>_xll.BDH("AMZN US Equity","PROF_MARGIN","FQ4 2001","FQ4 2001","Currency=USD","Period=FQ","BEST_FPERIOD_OVERRIDE=FQ","FILING_STATUS=OR","FA_ADJUSTED=Adjusted","Sort=A","Dates=H","DateFormat=P","Fill=—","Direction=H","UseDPDF=Y")</f>
        <v>0.45619999999999999</v>
      </c>
      <c r="O52" s="14">
        <f>_xll.BDH("AMZN US Equity","PROF_MARGIN","FQ1 2002","FQ1 2002","Currency=USD","Period=FQ","BEST_FPERIOD_OVERRIDE=FQ","FILING_STATUS=OR","FA_ADJUSTED=Adjusted","Sort=A","Dates=H","DateFormat=P","Fill=—","Direction=H","UseDPDF=Y")</f>
        <v>-2.7317999999999998</v>
      </c>
      <c r="P52" s="14">
        <f>_xll.BDH("AMZN US Equity","PROF_MARGIN","FQ2 2002","FQ2 2002","Currency=USD","Period=FQ","BEST_FPERIOD_OVERRIDE=FQ","FILING_STATUS=OR","FA_ADJUSTED=Adjusted","Sort=A","Dates=H","DateFormat=P","Fill=—","Direction=H","UseDPDF=Y")</f>
        <v>-11.6128</v>
      </c>
      <c r="Q52" s="14">
        <f>_xll.BDH("AMZN US Equity","PROF_MARGIN","FQ3 2002","FQ3 2002","Currency=USD","Period=FQ","BEST_FPERIOD_OVERRIDE=FQ","FILING_STATUS=OR","FA_ADJUSTED=Adjusted","Sort=A","Dates=H","DateFormat=P","Fill=—","Direction=H","UseDPDF=Y")</f>
        <v>-4.1208</v>
      </c>
      <c r="R52" s="14">
        <f>_xll.BDH("AMZN US Equity","PROF_MARGIN","FQ4 2002","FQ4 2002","Currency=USD","Period=FQ","BEST_FPERIOD_OVERRIDE=FQ","FILING_STATUS=OR","FA_ADJUSTED=Adjusted","Sort=A","Dates=H","DateFormat=P","Fill=—","Direction=H","UseDPDF=Y")</f>
        <v>0.18559999999999999</v>
      </c>
      <c r="S52" s="14">
        <f>_xll.BDH("AMZN US Equity","PROF_MARGIN","FQ1 2003","FQ1 2003","Currency=USD","Period=FQ","BEST_FPERIOD_OVERRIDE=FQ","FILING_STATUS=OR","FA_ADJUSTED=Adjusted","Sort=A","Dates=H","DateFormat=P","Fill=—","Direction=H","UseDPDF=Y")</f>
        <v>-0.93410000000000004</v>
      </c>
      <c r="T52" s="14">
        <f>_xll.BDH("AMZN US Equity","PROF_MARGIN","FQ2 2003","FQ2 2003","Currency=USD","Period=FQ","BEST_FPERIOD_OVERRIDE=FQ","FILING_STATUS=OR","FA_ADJUSTED=Adjusted","Sort=A","Dates=H","DateFormat=P","Fill=—","Direction=H","UseDPDF=Y")</f>
        <v>-3.9379999999999997</v>
      </c>
      <c r="U52" s="14">
        <f>_xll.BDH("AMZN US Equity","PROF_MARGIN","FQ3 2003","FQ3 2003","Currency=USD","Period=FQ","BEST_FPERIOD_OVERRIDE=FQ","FILING_STATUS=OR","FA_ADJUSTED=Adjusted","Sort=A","Dates=H","DateFormat=P","Fill=—","Direction=H","UseDPDF=Y")</f>
        <v>1.3717999999999999</v>
      </c>
      <c r="V52" s="14">
        <f>_xll.BDH("AMZN US Equity","PROF_MARGIN","FQ4 2003","FQ4 2003","Currency=USD","Period=FQ","BEST_FPERIOD_OVERRIDE=FQ","FILING_STATUS=OR","FA_ADJUSTED=Adjusted","Sort=A","Dates=H","DateFormat=P","Fill=—","Direction=H","UseDPDF=Y")</f>
        <v>3.7595999999999998</v>
      </c>
      <c r="W52" s="14">
        <f>_xll.BDH("AMZN US Equity","PROF_MARGIN","FQ1 2004","FQ1 2004","Currency=USD","Period=FQ","BEST_FPERIOD_OVERRIDE=FQ","FILING_STATUS=OR","FA_ADJUSTED=Adjusted","Sort=A","Dates=H","DateFormat=P","Fill=—","Direction=H","UseDPDF=Y")</f>
        <v>7.2621000000000002</v>
      </c>
      <c r="X52" s="14">
        <f>_xll.BDH("AMZN US Equity","PROF_MARGIN","FQ2 2004","FQ2 2004","Currency=USD","Period=FQ","BEST_FPERIOD_OVERRIDE=FQ","FILING_STATUS=OR","FA_ADJUSTED=Adjusted","Sort=A","Dates=H","DateFormat=P","Fill=—","Direction=H","UseDPDF=Y")</f>
        <v>5.5126999999999997</v>
      </c>
      <c r="Y52" s="14">
        <f>_xll.BDH("AMZN US Equity","PROF_MARGIN","FQ3 2004","FQ3 2004","Currency=USD","Period=FQ","BEST_FPERIOD_OVERRIDE=FQ","FILING_STATUS=OR","FA_ADJUSTED=Adjusted","Sort=A","Dates=H","DateFormat=P","Fill=—","Direction=H","UseDPDF=Y")</f>
        <v>3.7023999999999999</v>
      </c>
      <c r="Z52" s="14">
        <f>_xll.BDH("AMZN US Equity","PROF_MARGIN","FQ4 2004","FQ4 2004","Currency=USD","Period=FQ","BEST_FPERIOD_OVERRIDE=FQ","FILING_STATUS=OR","FA_ADJUSTED=Adjusted","Sort=A","Dates=H","DateFormat=P","Fill=—","Direction=H","UseDPDF=Y")</f>
        <v>13.644</v>
      </c>
      <c r="AA52" s="14">
        <f>_xll.BDH("AMZN US Equity","PROF_MARGIN","FQ1 2005","FQ1 2005","Currency=USD","Period=FQ","BEST_FPERIOD_OVERRIDE=FQ","FILING_STATUS=OR","FA_ADJUSTED=Adjusted","Sort=A","Dates=H","DateFormat=P","Fill=—","Direction=H","UseDPDF=Y")</f>
        <v>4.1009000000000002</v>
      </c>
      <c r="AB52" s="14">
        <f>_xll.BDH("AMZN US Equity","PROF_MARGIN","FQ2 2005","FQ2 2005","Currency=USD","Period=FQ","BEST_FPERIOD_OVERRIDE=FQ","FILING_STATUS=OR","FA_ADJUSTED=Adjusted","Sort=A","Dates=H","DateFormat=P","Fill=—","Direction=H","UseDPDF=Y")</f>
        <v>2.9662999999999999</v>
      </c>
      <c r="AC52" s="14">
        <f>_xll.BDH("AMZN US Equity","PROF_MARGIN","FQ3 2005","FQ3 2005","Currency=USD","Period=FQ","BEST_FPERIOD_OVERRIDE=FQ","FILING_STATUS=OR","FA_ADJUSTED=Adjusted","Sort=A","Dates=H","DateFormat=P","Fill=—","Direction=H","UseDPDF=Y")</f>
        <v>1.6146</v>
      </c>
      <c r="AD52" s="14">
        <f>_xll.BDH("AMZN US Equity","PROF_MARGIN","FQ4 2005","FQ4 2005","Currency=USD","Period=FQ","BEST_FPERIOD_OVERRIDE=FQ","FILING_STATUS=OR","FA_ADJUSTED=Adjusted","Sort=A","Dates=H","DateFormat=P","Fill=—","Direction=H","UseDPDF=Y")</f>
        <v>6.6845999999999997</v>
      </c>
      <c r="AE52" s="14">
        <f>_xll.BDH("AMZN US Equity","PROF_MARGIN","FQ1 2006","FQ1 2006","Currency=USD","Period=FQ","BEST_FPERIOD_OVERRIDE=FQ","FILING_STATUS=OR","FA_ADJUSTED=Adjusted","Sort=A","Dates=H","DateFormat=P","Fill=—","Direction=H","UseDPDF=Y")</f>
        <v>2.2378</v>
      </c>
      <c r="AF52" s="14">
        <f>_xll.BDH("AMZN US Equity","PROF_MARGIN","FQ2 2006","FQ2 2006","Currency=USD","Period=FQ","BEST_FPERIOD_OVERRIDE=FQ","FILING_STATUS=OR","FA_ADJUSTED=Adjusted","Sort=A","Dates=H","DateFormat=P","Fill=—","Direction=H","UseDPDF=Y")</f>
        <v>1.0285</v>
      </c>
      <c r="AG52" s="14">
        <f>_xll.BDH("AMZN US Equity","PROF_MARGIN","FQ3 2006","FQ3 2006","Currency=USD","Period=FQ","BEST_FPERIOD_OVERRIDE=FQ","FILING_STATUS=OR","FA_ADJUSTED=Adjusted","Sort=A","Dates=H","DateFormat=P","Fill=—","Direction=H","UseDPDF=Y")</f>
        <v>0.8236</v>
      </c>
      <c r="AH52" s="14">
        <f>_xll.BDH("AMZN US Equity","PROF_MARGIN","FQ4 2006","FQ4 2006","Currency=USD","Period=FQ","BEST_FPERIOD_OVERRIDE=FQ","FILING_STATUS=OR","FA_ADJUSTED=Adjusted","Sort=A","Dates=H","DateFormat=P","Fill=—","Direction=H","UseDPDF=Y")</f>
        <v>2.4586000000000001</v>
      </c>
      <c r="AI52" s="14">
        <f>_xll.BDH("AMZN US Equity","PROF_MARGIN","FQ1 2007","FQ1 2007","Currency=USD","Period=FQ","BEST_FPERIOD_OVERRIDE=FQ","FILING_STATUS=OR","FA_ADJUSTED=Adjusted","Sort=A","Dates=H","DateFormat=P","Fill=—","Direction=H","UseDPDF=Y")</f>
        <v>3.6816</v>
      </c>
      <c r="AJ52" s="14">
        <f>_xll.BDH("AMZN US Equity","PROF_MARGIN","FQ2 2007","FQ2 2007","Currency=USD","Period=FQ","BEST_FPERIOD_OVERRIDE=FQ","FILING_STATUS=OR","FA_ADJUSTED=Adjusted","Sort=A","Dates=H","DateFormat=P","Fill=—","Direction=H","UseDPDF=Y")</f>
        <v>2.7027000000000001</v>
      </c>
      <c r="AK52" s="14">
        <f>_xll.BDH("AMZN US Equity","PROF_MARGIN","FQ3 2007","FQ3 2007","Currency=USD","Period=FQ","BEST_FPERIOD_OVERRIDE=FQ","FILING_STATUS=OR","FA_ADJUSTED=Adjusted","Sort=A","Dates=H","DateFormat=P","Fill=—","Direction=H","UseDPDF=Y")</f>
        <v>2.4525000000000001</v>
      </c>
      <c r="AL52" s="14">
        <f>_xll.BDH("AMZN US Equity","PROF_MARGIN","FQ4 2007","FQ4 2007","Currency=USD","Period=FQ","BEST_FPERIOD_OVERRIDE=FQ","FILING_STATUS=OR","FA_ADJUSTED=Adjusted","Sort=A","Dates=H","DateFormat=P","Fill=—","Direction=H","UseDPDF=Y")</f>
        <v>3.6489000000000003</v>
      </c>
      <c r="AM52" s="14">
        <f>_xll.BDH("AMZN US Equity","PROF_MARGIN","FQ1 2008","FQ1 2008","Currency=USD","Period=FQ","BEST_FPERIOD_OVERRIDE=FQ","FILING_STATUS=OR","FA_ADJUSTED=Adjusted","Sort=A","Dates=H","DateFormat=P","Fill=—","Direction=H","UseDPDF=Y")</f>
        <v>3.4582999999999999</v>
      </c>
      <c r="AN52" s="14">
        <f>_xll.BDH("AMZN US Equity","PROF_MARGIN","FQ2 2008","FQ2 2008","Currency=USD","Period=FQ","BEST_FPERIOD_OVERRIDE=FQ","FILING_STATUS=OR","FA_ADJUSTED=Adjusted","Sort=A","Dates=H","DateFormat=P","Fill=—","Direction=H","UseDPDF=Y")</f>
        <v>3.8887999999999998</v>
      </c>
      <c r="AO52" s="14">
        <f>_xll.BDH("AMZN US Equity","PROF_MARGIN","FQ3 2008","FQ3 2008","Currency=USD","Period=FQ","BEST_FPERIOD_OVERRIDE=FQ","FILING_STATUS=OR","FA_ADJUSTED=Adjusted","Sort=A","Dates=H","DateFormat=P","Fill=—","Direction=H","UseDPDF=Y")</f>
        <v>2.7673999999999999</v>
      </c>
      <c r="AP52" s="14">
        <f>_xll.BDH("AMZN US Equity","PROF_MARGIN","FQ4 2008","FQ4 2008","Currency=USD","Period=FQ","BEST_FPERIOD_OVERRIDE=FQ","FILING_STATUS=OR","FA_ADJUSTED=Adjusted","Sort=A","Dates=H","DateFormat=P","Fill=—","Direction=H","UseDPDF=Y")</f>
        <v>3.3561999999999999</v>
      </c>
    </row>
    <row r="53" spans="1:42" x14ac:dyDescent="0.25">
      <c r="A53" s="10" t="s">
        <v>165</v>
      </c>
      <c r="B53" s="10" t="s">
        <v>166</v>
      </c>
      <c r="C53" s="14">
        <f>_xll.BDH("AMZN US Equity","ACTUAL_SALES_PER_EMPL","FQ4 1998","FQ4 1998","Currency=USD","Period=FQ","BEST_FPERIOD_OVERRIDE=FQ","FILING_STATUS=OR","FA_ADJUSTED=Adjusted","Sort=A","Dates=H","DateFormat=P","Fill=—","Direction=H","UseDPDF=Y")</f>
        <v>120370.4761</v>
      </c>
      <c r="D53" s="14" t="str">
        <f>_xll.BDH("AMZN US Equity","ACTUAL_SALES_PER_EMPL","FQ1 1999","FQ1 1999","Currency=USD","Period=FQ","BEST_FPERIOD_OVERRIDE=FQ","FILING_STATUS=OR","FA_ADJUSTED=Adjusted","Sort=A","Dates=H","DateFormat=P","Fill=—","Direction=H","UseDPDF=Y")</f>
        <v>—</v>
      </c>
      <c r="E53" s="14" t="str">
        <f>_xll.BDH("AMZN US Equity","ACTUAL_SALES_PER_EMPL","FQ2 1999","FQ2 1999","Currency=USD","Period=FQ","BEST_FPERIOD_OVERRIDE=FQ","FILING_STATUS=OR","FA_ADJUSTED=Adjusted","Sort=A","Dates=H","DateFormat=P","Fill=—","Direction=H","UseDPDF=Y")</f>
        <v>—</v>
      </c>
      <c r="F53" s="14" t="str">
        <f>_xll.BDH("AMZN US Equity","ACTUAL_SALES_PER_EMPL","FQ3 1999","FQ3 1999","Currency=USD","Period=FQ","BEST_FPERIOD_OVERRIDE=FQ","FILING_STATUS=OR","FA_ADJUSTED=Adjusted","Sort=A","Dates=H","DateFormat=P","Fill=—","Direction=H","UseDPDF=Y")</f>
        <v>—</v>
      </c>
      <c r="G53" s="14" t="str">
        <f>_xll.BDH("AMZN US Equity","ACTUAL_SALES_PER_EMPL","FQ4 1999","FQ4 1999","Currency=USD","Period=FQ","BEST_FPERIOD_OVERRIDE=FQ","FILING_STATUS=OR","FA_ADJUSTED=Adjusted","Sort=A","Dates=H","DateFormat=P","Fill=—","Direction=H","UseDPDF=Y")</f>
        <v>—</v>
      </c>
      <c r="H53" s="14" t="str">
        <f>_xll.BDH("AMZN US Equity","ACTUAL_SALES_PER_EMPL","FQ1 2000","FQ1 2000","Currency=USD","Period=FQ","BEST_FPERIOD_OVERRIDE=FQ","FILING_STATUS=OR","FA_ADJUSTED=Adjusted","Sort=A","Dates=H","DateFormat=P","Fill=—","Direction=H","UseDPDF=Y")</f>
        <v>—</v>
      </c>
      <c r="I53" s="14" t="str">
        <f>_xll.BDH("AMZN US Equity","ACTUAL_SALES_PER_EMPL","FQ3 2000","FQ3 2000","Currency=USD","Period=FQ","BEST_FPERIOD_OVERRIDE=FQ","FILING_STATUS=OR","FA_ADJUSTED=Adjusted","Sort=A","Dates=H","DateFormat=P","Fill=—","Direction=H","UseDPDF=Y")</f>
        <v>—</v>
      </c>
      <c r="J53" s="14" t="str">
        <f>_xll.BDH("AMZN US Equity","ACTUAL_SALES_PER_EMPL","FQ4 2000","FQ4 2000","Currency=USD","Period=FQ","BEST_FPERIOD_OVERRIDE=FQ","FILING_STATUS=OR","FA_ADJUSTED=Adjusted","Sort=A","Dates=H","DateFormat=P","Fill=—","Direction=H","UseDPDF=Y")</f>
        <v>—</v>
      </c>
      <c r="K53" s="14" t="str">
        <f>_xll.BDH("AMZN US Equity","ACTUAL_SALES_PER_EMPL","FQ1 2001","FQ1 2001","Currency=USD","Period=FQ","BEST_FPERIOD_OVERRIDE=FQ","FILING_STATUS=OR","FA_ADJUSTED=Adjusted","Sort=A","Dates=H","DateFormat=P","Fill=—","Direction=H","UseDPDF=Y")</f>
        <v>—</v>
      </c>
      <c r="L53" s="14" t="str">
        <f>_xll.BDH("AMZN US Equity","ACTUAL_SALES_PER_EMPL","FQ2 2001","FQ2 2001","Currency=USD","Period=FQ","BEST_FPERIOD_OVERRIDE=FQ","FILING_STATUS=OR","FA_ADJUSTED=Adjusted","Sort=A","Dates=H","DateFormat=P","Fill=—","Direction=H","UseDPDF=Y")</f>
        <v>—</v>
      </c>
      <c r="M53" s="14" t="str">
        <f>_xll.BDH("AMZN US Equity","ACTUAL_SALES_PER_EMPL","FQ3 2001","FQ3 2001","Currency=USD","Period=FQ","BEST_FPERIOD_OVERRIDE=FQ","FILING_STATUS=OR","FA_ADJUSTED=Adjusted","Sort=A","Dates=H","DateFormat=P","Fill=—","Direction=H","UseDPDF=Y")</f>
        <v>—</v>
      </c>
      <c r="N53" s="14" t="str">
        <f>_xll.BDH("AMZN US Equity","ACTUAL_SALES_PER_EMPL","FQ4 2001","FQ4 2001","Currency=USD","Period=FQ","BEST_FPERIOD_OVERRIDE=FQ","FILING_STATUS=OR","FA_ADJUSTED=Adjusted","Sort=A","Dates=H","DateFormat=P","Fill=—","Direction=H","UseDPDF=Y")</f>
        <v>—</v>
      </c>
      <c r="O53" s="14" t="str">
        <f>_xll.BDH("AMZN US Equity","ACTUAL_SALES_PER_EMPL","FQ1 2002","FQ1 2002","Currency=USD","Period=FQ","BEST_FPERIOD_OVERRIDE=FQ","FILING_STATUS=OR","FA_ADJUSTED=Adjusted","Sort=A","Dates=H","DateFormat=P","Fill=—","Direction=H","UseDPDF=Y")</f>
        <v>—</v>
      </c>
      <c r="P53" s="14" t="str">
        <f>_xll.BDH("AMZN US Equity","ACTUAL_SALES_PER_EMPL","FQ2 2002","FQ2 2002","Currency=USD","Period=FQ","BEST_FPERIOD_OVERRIDE=FQ","FILING_STATUS=OR","FA_ADJUSTED=Adjusted","Sort=A","Dates=H","DateFormat=P","Fill=—","Direction=H","UseDPDF=Y")</f>
        <v>—</v>
      </c>
      <c r="Q53" s="14" t="str">
        <f>_xll.BDH("AMZN US Equity","ACTUAL_SALES_PER_EMPL","FQ3 2002","FQ3 2002","Currency=USD","Period=FQ","BEST_FPERIOD_OVERRIDE=FQ","FILING_STATUS=OR","FA_ADJUSTED=Adjusted","Sort=A","Dates=H","DateFormat=P","Fill=—","Direction=H","UseDPDF=Y")</f>
        <v>—</v>
      </c>
      <c r="R53" s="14" t="str">
        <f>_xll.BDH("AMZN US Equity","ACTUAL_SALES_PER_EMPL","FQ4 2002","FQ4 2002","Currency=USD","Period=FQ","BEST_FPERIOD_OVERRIDE=FQ","FILING_STATUS=OR","FA_ADJUSTED=Adjusted","Sort=A","Dates=H","DateFormat=P","Fill=—","Direction=H","UseDPDF=Y")</f>
        <v>—</v>
      </c>
      <c r="S53" s="14" t="str">
        <f>_xll.BDH("AMZN US Equity","ACTUAL_SALES_PER_EMPL","FQ1 2003","FQ1 2003","Currency=USD","Period=FQ","BEST_FPERIOD_OVERRIDE=FQ","FILING_STATUS=OR","FA_ADJUSTED=Adjusted","Sort=A","Dates=H","DateFormat=P","Fill=—","Direction=H","UseDPDF=Y")</f>
        <v>—</v>
      </c>
      <c r="T53" s="14" t="str">
        <f>_xll.BDH("AMZN US Equity","ACTUAL_SALES_PER_EMPL","FQ2 2003","FQ2 2003","Currency=USD","Period=FQ","BEST_FPERIOD_OVERRIDE=FQ","FILING_STATUS=OR","FA_ADJUSTED=Adjusted","Sort=A","Dates=H","DateFormat=P","Fill=—","Direction=H","UseDPDF=Y")</f>
        <v>—</v>
      </c>
      <c r="U53" s="14" t="str">
        <f>_xll.BDH("AMZN US Equity","ACTUAL_SALES_PER_EMPL","FQ3 2003","FQ3 2003","Currency=USD","Period=FQ","BEST_FPERIOD_OVERRIDE=FQ","FILING_STATUS=OR","FA_ADJUSTED=Adjusted","Sort=A","Dates=H","DateFormat=P","Fill=—","Direction=H","UseDPDF=Y")</f>
        <v>—</v>
      </c>
      <c r="V53" s="14" t="str">
        <f>_xll.BDH("AMZN US Equity","ACTUAL_SALES_PER_EMPL","FQ4 2003","FQ4 2003","Currency=USD","Period=FQ","BEST_FPERIOD_OVERRIDE=FQ","FILING_STATUS=OR","FA_ADJUSTED=Adjusted","Sort=A","Dates=H","DateFormat=P","Fill=—","Direction=H","UseDPDF=Y")</f>
        <v>—</v>
      </c>
      <c r="W53" s="14" t="str">
        <f>_xll.BDH("AMZN US Equity","ACTUAL_SALES_PER_EMPL","FQ1 2004","FQ1 2004","Currency=USD","Period=FQ","BEST_FPERIOD_OVERRIDE=FQ","FILING_STATUS=OR","FA_ADJUSTED=Adjusted","Sort=A","Dates=H","DateFormat=P","Fill=—","Direction=H","UseDPDF=Y")</f>
        <v>—</v>
      </c>
      <c r="X53" s="14" t="str">
        <f>_xll.BDH("AMZN US Equity","ACTUAL_SALES_PER_EMPL","FQ2 2004","FQ2 2004","Currency=USD","Period=FQ","BEST_FPERIOD_OVERRIDE=FQ","FILING_STATUS=OR","FA_ADJUSTED=Adjusted","Sort=A","Dates=H","DateFormat=P","Fill=—","Direction=H","UseDPDF=Y")</f>
        <v>—</v>
      </c>
      <c r="Y53" s="14" t="str">
        <f>_xll.BDH("AMZN US Equity","ACTUAL_SALES_PER_EMPL","FQ3 2004","FQ3 2004","Currency=USD","Period=FQ","BEST_FPERIOD_OVERRIDE=FQ","FILING_STATUS=OR","FA_ADJUSTED=Adjusted","Sort=A","Dates=H","DateFormat=P","Fill=—","Direction=H","UseDPDF=Y")</f>
        <v>—</v>
      </c>
      <c r="Z53" s="14">
        <f>_xll.BDH("AMZN US Equity","ACTUAL_SALES_PER_EMPL","FQ4 2004","FQ4 2004","Currency=USD","Period=FQ","BEST_FPERIOD_OVERRIDE=FQ","FILING_STATUS=OR","FA_ADJUSTED=Adjusted","Sort=A","Dates=H","DateFormat=P","Fill=—","Direction=H","UseDPDF=Y")</f>
        <v>282328.77600000001</v>
      </c>
      <c r="AA53" s="14" t="str">
        <f>_xll.BDH("AMZN US Equity","ACTUAL_SALES_PER_EMPL","FQ1 2005","FQ1 2005","Currency=USD","Period=FQ","BEST_FPERIOD_OVERRIDE=FQ","FILING_STATUS=OR","FA_ADJUSTED=Adjusted","Sort=A","Dates=H","DateFormat=P","Fill=—","Direction=H","UseDPDF=Y")</f>
        <v>—</v>
      </c>
      <c r="AB53" s="14" t="str">
        <f>_xll.BDH("AMZN US Equity","ACTUAL_SALES_PER_EMPL","FQ2 2005","FQ2 2005","Currency=USD","Period=FQ","BEST_FPERIOD_OVERRIDE=FQ","FILING_STATUS=OR","FA_ADJUSTED=Adjusted","Sort=A","Dates=H","DateFormat=P","Fill=—","Direction=H","UseDPDF=Y")</f>
        <v>—</v>
      </c>
      <c r="AC53" s="14" t="str">
        <f>_xll.BDH("AMZN US Equity","ACTUAL_SALES_PER_EMPL","FQ3 2005","FQ3 2005","Currency=USD","Period=FQ","BEST_FPERIOD_OVERRIDE=FQ","FILING_STATUS=OR","FA_ADJUSTED=Adjusted","Sort=A","Dates=H","DateFormat=P","Fill=—","Direction=H","UseDPDF=Y")</f>
        <v>—</v>
      </c>
      <c r="AD53" s="14">
        <f>_xll.BDH("AMZN US Equity","ACTUAL_SALES_PER_EMPL","FQ4 2005","FQ4 2005","Currency=USD","Period=FQ","BEST_FPERIOD_OVERRIDE=FQ","FILING_STATUS=OR","FA_ADJUSTED=Adjusted","Sort=A","Dates=H","DateFormat=P","Fill=—","Direction=H","UseDPDF=Y")</f>
        <v>248083.3333</v>
      </c>
      <c r="AE53" s="14" t="str">
        <f>_xll.BDH("AMZN US Equity","ACTUAL_SALES_PER_EMPL","FQ1 2006","FQ1 2006","Currency=USD","Period=FQ","BEST_FPERIOD_OVERRIDE=FQ","FILING_STATUS=OR","FA_ADJUSTED=Adjusted","Sort=A","Dates=H","DateFormat=P","Fill=—","Direction=H","UseDPDF=Y")</f>
        <v>—</v>
      </c>
      <c r="AF53" s="14" t="str">
        <f>_xll.BDH("AMZN US Equity","ACTUAL_SALES_PER_EMPL","FQ2 2006","FQ2 2006","Currency=USD","Period=FQ","BEST_FPERIOD_OVERRIDE=FQ","FILING_STATUS=OR","FA_ADJUSTED=Adjusted","Sort=A","Dates=H","DateFormat=P","Fill=—","Direction=H","UseDPDF=Y")</f>
        <v>—</v>
      </c>
      <c r="AG53" s="14" t="str">
        <f>_xll.BDH("AMZN US Equity","ACTUAL_SALES_PER_EMPL","FQ3 2006","FQ3 2006","Currency=USD","Period=FQ","BEST_FPERIOD_OVERRIDE=FQ","FILING_STATUS=OR","FA_ADJUSTED=Adjusted","Sort=A","Dates=H","DateFormat=P","Fill=—","Direction=H","UseDPDF=Y")</f>
        <v>—</v>
      </c>
      <c r="AH53" s="14">
        <f>_xll.BDH("AMZN US Equity","ACTUAL_SALES_PER_EMPL","FQ4 2006","FQ4 2006","Currency=USD","Period=FQ","BEST_FPERIOD_OVERRIDE=FQ","FILING_STATUS=OR","FA_ADJUSTED=Adjusted","Sort=A","Dates=H","DateFormat=P","Fill=—","Direction=H","UseDPDF=Y")</f>
        <v>286762.58990000002</v>
      </c>
      <c r="AI53" s="14" t="str">
        <f>_xll.BDH("AMZN US Equity","ACTUAL_SALES_PER_EMPL","FQ1 2007","FQ1 2007","Currency=USD","Period=FQ","BEST_FPERIOD_OVERRIDE=FQ","FILING_STATUS=OR","FA_ADJUSTED=Adjusted","Sort=A","Dates=H","DateFormat=P","Fill=—","Direction=H","UseDPDF=Y")</f>
        <v>—</v>
      </c>
      <c r="AJ53" s="14" t="str">
        <f>_xll.BDH("AMZN US Equity","ACTUAL_SALES_PER_EMPL","FQ2 2007","FQ2 2007","Currency=USD","Period=FQ","BEST_FPERIOD_OVERRIDE=FQ","FILING_STATUS=OR","FA_ADJUSTED=Adjusted","Sort=A","Dates=H","DateFormat=P","Fill=—","Direction=H","UseDPDF=Y")</f>
        <v>—</v>
      </c>
      <c r="AK53" s="14" t="str">
        <f>_xll.BDH("AMZN US Equity","ACTUAL_SALES_PER_EMPL","FQ3 2007","FQ3 2007","Currency=USD","Period=FQ","BEST_FPERIOD_OVERRIDE=FQ","FILING_STATUS=OR","FA_ADJUSTED=Adjusted","Sort=A","Dates=H","DateFormat=P","Fill=—","Direction=H","UseDPDF=Y")</f>
        <v>—</v>
      </c>
      <c r="AL53" s="14">
        <f>_xll.BDH("AMZN US Equity","ACTUAL_SALES_PER_EMPL","FQ4 2007","FQ4 2007","Currency=USD","Period=FQ","BEST_FPERIOD_OVERRIDE=FQ","FILING_STATUS=OR","FA_ADJUSTED=Adjusted","Sort=A","Dates=H","DateFormat=P","Fill=—","Direction=H","UseDPDF=Y")</f>
        <v>333705.8824</v>
      </c>
      <c r="AM53" s="14" t="str">
        <f>_xll.BDH("AMZN US Equity","ACTUAL_SALES_PER_EMPL","FQ1 2008","FQ1 2008","Currency=USD","Period=FQ","BEST_FPERIOD_OVERRIDE=FQ","FILING_STATUS=OR","FA_ADJUSTED=Adjusted","Sort=A","Dates=H","DateFormat=P","Fill=—","Direction=H","UseDPDF=Y")</f>
        <v>—</v>
      </c>
      <c r="AN53" s="14" t="str">
        <f>_xll.BDH("AMZN US Equity","ACTUAL_SALES_PER_EMPL","FQ2 2008","FQ2 2008","Currency=USD","Period=FQ","BEST_FPERIOD_OVERRIDE=FQ","FILING_STATUS=OR","FA_ADJUSTED=Adjusted","Sort=A","Dates=H","DateFormat=P","Fill=—","Direction=H","UseDPDF=Y")</f>
        <v>—</v>
      </c>
      <c r="AO53" s="14" t="str">
        <f>_xll.BDH("AMZN US Equity","ACTUAL_SALES_PER_EMPL","FQ3 2008","FQ3 2008","Currency=USD","Period=FQ","BEST_FPERIOD_OVERRIDE=FQ","FILING_STATUS=OR","FA_ADJUSTED=Adjusted","Sort=A","Dates=H","DateFormat=P","Fill=—","Direction=H","UseDPDF=Y")</f>
        <v>—</v>
      </c>
      <c r="AP53" s="14">
        <f>_xll.BDH("AMZN US Equity","ACTUAL_SALES_PER_EMPL","FQ4 2008","FQ4 2008","Currency=USD","Period=FQ","BEST_FPERIOD_OVERRIDE=FQ","FILING_STATUS=OR","FA_ADJUSTED=Adjusted","Sort=A","Dates=H","DateFormat=P","Fill=—","Direction=H","UseDPDF=Y")</f>
        <v>323864.73430000001</v>
      </c>
    </row>
    <row r="54" spans="1:42" x14ac:dyDescent="0.25">
      <c r="A54" s="10" t="s">
        <v>167</v>
      </c>
      <c r="B54" s="10" t="s">
        <v>168</v>
      </c>
      <c r="C54" s="14">
        <f>_xll.BDH("AMZN US Equity","EQY_DPS","FQ4 1998","FQ4 1998","Currency=USD","Period=FQ","BEST_FPERIOD_OVERRIDE=FQ","FILING_STATUS=OR","Sort=A","Dates=H","DateFormat=P","Fill=—","Direction=H","UseDPDF=Y")</f>
        <v>0</v>
      </c>
      <c r="D54" s="14">
        <f>_xll.BDH("AMZN US Equity","EQY_DPS","FQ1 1999","FQ1 1999","Currency=USD","Period=FQ","BEST_FPERIOD_OVERRIDE=FQ","FILING_STATUS=OR","Sort=A","Dates=H","DateFormat=P","Fill=—","Direction=H","UseDPDF=Y")</f>
        <v>0</v>
      </c>
      <c r="E54" s="14">
        <f>_xll.BDH("AMZN US Equity","EQY_DPS","FQ2 1999","FQ2 1999","Currency=USD","Period=FQ","BEST_FPERIOD_OVERRIDE=FQ","FILING_STATUS=OR","Sort=A","Dates=H","DateFormat=P","Fill=—","Direction=H","UseDPDF=Y")</f>
        <v>0</v>
      </c>
      <c r="F54" s="14">
        <f>_xll.BDH("AMZN US Equity","EQY_DPS","FQ3 1999","FQ3 1999","Currency=USD","Period=FQ","BEST_FPERIOD_OVERRIDE=FQ","FILING_STATUS=OR","Sort=A","Dates=H","DateFormat=P","Fill=—","Direction=H","UseDPDF=Y")</f>
        <v>0</v>
      </c>
      <c r="G54" s="14">
        <f>_xll.BDH("AMZN US Equity","EQY_DPS","FQ4 1999","FQ4 1999","Currency=USD","Period=FQ","BEST_FPERIOD_OVERRIDE=FQ","FILING_STATUS=OR","Sort=A","Dates=H","DateFormat=P","Fill=—","Direction=H","UseDPDF=Y")</f>
        <v>0</v>
      </c>
      <c r="H54" s="14">
        <f>_xll.BDH("AMZN US Equity","EQY_DPS","FQ1 2000","FQ1 2000","Currency=USD","Period=FQ","BEST_FPERIOD_OVERRIDE=FQ","FILING_STATUS=OR","Sort=A","Dates=H","DateFormat=P","Fill=—","Direction=H","UseDPDF=Y")</f>
        <v>0</v>
      </c>
      <c r="I54" s="14">
        <f>_xll.BDH("AMZN US Equity","EQY_DPS","FQ3 2000","FQ3 2000","Currency=USD","Period=FQ","BEST_FPERIOD_OVERRIDE=FQ","FILING_STATUS=OR","Sort=A","Dates=H","DateFormat=P","Fill=—","Direction=H","UseDPDF=Y")</f>
        <v>0</v>
      </c>
      <c r="J54" s="14">
        <f>_xll.BDH("AMZN US Equity","EQY_DPS","FQ4 2000","FQ4 2000","Currency=USD","Period=FQ","BEST_FPERIOD_OVERRIDE=FQ","FILING_STATUS=OR","Sort=A","Dates=H","DateFormat=P","Fill=—","Direction=H","UseDPDF=Y")</f>
        <v>0</v>
      </c>
      <c r="K54" s="14">
        <f>_xll.BDH("AMZN US Equity","EQY_DPS","FQ1 2001","FQ1 2001","Currency=USD","Period=FQ","BEST_FPERIOD_OVERRIDE=FQ","FILING_STATUS=OR","Sort=A","Dates=H","DateFormat=P","Fill=—","Direction=H","UseDPDF=Y")</f>
        <v>0</v>
      </c>
      <c r="L54" s="14">
        <f>_xll.BDH("AMZN US Equity","EQY_DPS","FQ2 2001","FQ2 2001","Currency=USD","Period=FQ","BEST_FPERIOD_OVERRIDE=FQ","FILING_STATUS=OR","Sort=A","Dates=H","DateFormat=P","Fill=—","Direction=H","UseDPDF=Y")</f>
        <v>0</v>
      </c>
      <c r="M54" s="14">
        <f>_xll.BDH("AMZN US Equity","EQY_DPS","FQ3 2001","FQ3 2001","Currency=USD","Period=FQ","BEST_FPERIOD_OVERRIDE=FQ","FILING_STATUS=OR","Sort=A","Dates=H","DateFormat=P","Fill=—","Direction=H","UseDPDF=Y")</f>
        <v>0</v>
      </c>
      <c r="N54" s="14">
        <f>_xll.BDH("AMZN US Equity","EQY_DPS","FQ4 2001","FQ4 2001","Currency=USD","Period=FQ","BEST_FPERIOD_OVERRIDE=FQ","FILING_STATUS=OR","Sort=A","Dates=H","DateFormat=P","Fill=—","Direction=H","UseDPDF=Y")</f>
        <v>0</v>
      </c>
      <c r="O54" s="14">
        <f>_xll.BDH("AMZN US Equity","EQY_DPS","FQ1 2002","FQ1 2002","Currency=USD","Period=FQ","BEST_FPERIOD_OVERRIDE=FQ","FILING_STATUS=OR","Sort=A","Dates=H","DateFormat=P","Fill=—","Direction=H","UseDPDF=Y")</f>
        <v>0</v>
      </c>
      <c r="P54" s="14">
        <f>_xll.BDH("AMZN US Equity","EQY_DPS","FQ2 2002","FQ2 2002","Currency=USD","Period=FQ","BEST_FPERIOD_OVERRIDE=FQ","FILING_STATUS=OR","Sort=A","Dates=H","DateFormat=P","Fill=—","Direction=H","UseDPDF=Y")</f>
        <v>0</v>
      </c>
      <c r="Q54" s="14">
        <f>_xll.BDH("AMZN US Equity","EQY_DPS","FQ3 2002","FQ3 2002","Currency=USD","Period=FQ","BEST_FPERIOD_OVERRIDE=FQ","FILING_STATUS=OR","Sort=A","Dates=H","DateFormat=P","Fill=—","Direction=H","UseDPDF=Y")</f>
        <v>0</v>
      </c>
      <c r="R54" s="14">
        <f>_xll.BDH("AMZN US Equity","EQY_DPS","FQ4 2002","FQ4 2002","Currency=USD","Period=FQ","BEST_FPERIOD_OVERRIDE=FQ","FILING_STATUS=OR","Sort=A","Dates=H","DateFormat=P","Fill=—","Direction=H","UseDPDF=Y")</f>
        <v>0</v>
      </c>
      <c r="S54" s="14">
        <f>_xll.BDH("AMZN US Equity","EQY_DPS","FQ1 2003","FQ1 2003","Currency=USD","Period=FQ","BEST_FPERIOD_OVERRIDE=FQ","FILING_STATUS=OR","Sort=A","Dates=H","DateFormat=P","Fill=—","Direction=H","UseDPDF=Y")</f>
        <v>0</v>
      </c>
      <c r="T54" s="14">
        <f>_xll.BDH("AMZN US Equity","EQY_DPS","FQ2 2003","FQ2 2003","Currency=USD","Period=FQ","BEST_FPERIOD_OVERRIDE=FQ","FILING_STATUS=OR","Sort=A","Dates=H","DateFormat=P","Fill=—","Direction=H","UseDPDF=Y")</f>
        <v>0</v>
      </c>
      <c r="U54" s="14">
        <f>_xll.BDH("AMZN US Equity","EQY_DPS","FQ3 2003","FQ3 2003","Currency=USD","Period=FQ","BEST_FPERIOD_OVERRIDE=FQ","FILING_STATUS=OR","Sort=A","Dates=H","DateFormat=P","Fill=—","Direction=H","UseDPDF=Y")</f>
        <v>0</v>
      </c>
      <c r="V54" s="14">
        <f>_xll.BDH("AMZN US Equity","EQY_DPS","FQ4 2003","FQ4 2003","Currency=USD","Period=FQ","BEST_FPERIOD_OVERRIDE=FQ","FILING_STATUS=OR","Sort=A","Dates=H","DateFormat=P","Fill=—","Direction=H","UseDPDF=Y")</f>
        <v>0</v>
      </c>
      <c r="W54" s="14">
        <f>_xll.BDH("AMZN US Equity","EQY_DPS","FQ1 2004","FQ1 2004","Currency=USD","Period=FQ","BEST_FPERIOD_OVERRIDE=FQ","FILING_STATUS=OR","Sort=A","Dates=H","DateFormat=P","Fill=—","Direction=H","UseDPDF=Y")</f>
        <v>0</v>
      </c>
      <c r="X54" s="14">
        <f>_xll.BDH("AMZN US Equity","EQY_DPS","FQ2 2004","FQ2 2004","Currency=USD","Period=FQ","BEST_FPERIOD_OVERRIDE=FQ","FILING_STATUS=OR","Sort=A","Dates=H","DateFormat=P","Fill=—","Direction=H","UseDPDF=Y")</f>
        <v>0</v>
      </c>
      <c r="Y54" s="14">
        <f>_xll.BDH("AMZN US Equity","EQY_DPS","FQ3 2004","FQ3 2004","Currency=USD","Period=FQ","BEST_FPERIOD_OVERRIDE=FQ","FILING_STATUS=OR","Sort=A","Dates=H","DateFormat=P","Fill=—","Direction=H","UseDPDF=Y")</f>
        <v>0</v>
      </c>
      <c r="Z54" s="14">
        <f>_xll.BDH("AMZN US Equity","EQY_DPS","FQ4 2004","FQ4 2004","Currency=USD","Period=FQ","BEST_FPERIOD_OVERRIDE=FQ","FILING_STATUS=OR","Sort=A","Dates=H","DateFormat=P","Fill=—","Direction=H","UseDPDF=Y")</f>
        <v>0</v>
      </c>
      <c r="AA54" s="14">
        <f>_xll.BDH("AMZN US Equity","EQY_DPS","FQ1 2005","FQ1 2005","Currency=USD","Period=FQ","BEST_FPERIOD_OVERRIDE=FQ","FILING_STATUS=OR","Sort=A","Dates=H","DateFormat=P","Fill=—","Direction=H","UseDPDF=Y")</f>
        <v>0</v>
      </c>
      <c r="AB54" s="14">
        <f>_xll.BDH("AMZN US Equity","EQY_DPS","FQ2 2005","FQ2 2005","Currency=USD","Period=FQ","BEST_FPERIOD_OVERRIDE=FQ","FILING_STATUS=OR","Sort=A","Dates=H","DateFormat=P","Fill=—","Direction=H","UseDPDF=Y")</f>
        <v>0</v>
      </c>
      <c r="AC54" s="14">
        <f>_xll.BDH("AMZN US Equity","EQY_DPS","FQ3 2005","FQ3 2005","Currency=USD","Period=FQ","BEST_FPERIOD_OVERRIDE=FQ","FILING_STATUS=OR","Sort=A","Dates=H","DateFormat=P","Fill=—","Direction=H","UseDPDF=Y")</f>
        <v>0</v>
      </c>
      <c r="AD54" s="14">
        <f>_xll.BDH("AMZN US Equity","EQY_DPS","FQ4 2005","FQ4 2005","Currency=USD","Period=FQ","BEST_FPERIOD_OVERRIDE=FQ","FILING_STATUS=OR","Sort=A","Dates=H","DateFormat=P","Fill=—","Direction=H","UseDPDF=Y")</f>
        <v>0</v>
      </c>
      <c r="AE54" s="14">
        <f>_xll.BDH("AMZN US Equity","EQY_DPS","FQ1 2006","FQ1 2006","Currency=USD","Period=FQ","BEST_FPERIOD_OVERRIDE=FQ","FILING_STATUS=OR","Sort=A","Dates=H","DateFormat=P","Fill=—","Direction=H","UseDPDF=Y")</f>
        <v>0</v>
      </c>
      <c r="AF54" s="14">
        <f>_xll.BDH("AMZN US Equity","EQY_DPS","FQ2 2006","FQ2 2006","Currency=USD","Period=FQ","BEST_FPERIOD_OVERRIDE=FQ","FILING_STATUS=OR","Sort=A","Dates=H","DateFormat=P","Fill=—","Direction=H","UseDPDF=Y")</f>
        <v>0</v>
      </c>
      <c r="AG54" s="14">
        <f>_xll.BDH("AMZN US Equity","EQY_DPS","FQ3 2006","FQ3 2006","Currency=USD","Period=FQ","BEST_FPERIOD_OVERRIDE=FQ","FILING_STATUS=OR","Sort=A","Dates=H","DateFormat=P","Fill=—","Direction=H","UseDPDF=Y")</f>
        <v>0</v>
      </c>
      <c r="AH54" s="14">
        <f>_xll.BDH("AMZN US Equity","EQY_DPS","FQ4 2006","FQ4 2006","Currency=USD","Period=FQ","BEST_FPERIOD_OVERRIDE=FQ","FILING_STATUS=OR","Sort=A","Dates=H","DateFormat=P","Fill=—","Direction=H","UseDPDF=Y")</f>
        <v>0</v>
      </c>
      <c r="AI54" s="14">
        <f>_xll.BDH("AMZN US Equity","EQY_DPS","FQ1 2007","FQ1 2007","Currency=USD","Period=FQ","BEST_FPERIOD_OVERRIDE=FQ","FILING_STATUS=OR","Sort=A","Dates=H","DateFormat=P","Fill=—","Direction=H","UseDPDF=Y")</f>
        <v>0</v>
      </c>
      <c r="AJ54" s="14">
        <f>_xll.BDH("AMZN US Equity","EQY_DPS","FQ2 2007","FQ2 2007","Currency=USD","Period=FQ","BEST_FPERIOD_OVERRIDE=FQ","FILING_STATUS=OR","Sort=A","Dates=H","DateFormat=P","Fill=—","Direction=H","UseDPDF=Y")</f>
        <v>0</v>
      </c>
      <c r="AK54" s="14">
        <f>_xll.BDH("AMZN US Equity","EQY_DPS","FQ3 2007","FQ3 2007","Currency=USD","Period=FQ","BEST_FPERIOD_OVERRIDE=FQ","FILING_STATUS=OR","Sort=A","Dates=H","DateFormat=P","Fill=—","Direction=H","UseDPDF=Y")</f>
        <v>0</v>
      </c>
      <c r="AL54" s="14">
        <f>_xll.BDH("AMZN US Equity","EQY_DPS","FQ4 2007","FQ4 2007","Currency=USD","Period=FQ","BEST_FPERIOD_OVERRIDE=FQ","FILING_STATUS=OR","Sort=A","Dates=H","DateFormat=P","Fill=—","Direction=H","UseDPDF=Y")</f>
        <v>0</v>
      </c>
      <c r="AM54" s="14">
        <f>_xll.BDH("AMZN US Equity","EQY_DPS","FQ1 2008","FQ1 2008","Currency=USD","Period=FQ","BEST_FPERIOD_OVERRIDE=FQ","FILING_STATUS=OR","Sort=A","Dates=H","DateFormat=P","Fill=—","Direction=H","UseDPDF=Y")</f>
        <v>0</v>
      </c>
      <c r="AN54" s="14">
        <f>_xll.BDH("AMZN US Equity","EQY_DPS","FQ2 2008","FQ2 2008","Currency=USD","Period=FQ","BEST_FPERIOD_OVERRIDE=FQ","FILING_STATUS=OR","Sort=A","Dates=H","DateFormat=P","Fill=—","Direction=H","UseDPDF=Y")</f>
        <v>0</v>
      </c>
      <c r="AO54" s="14">
        <f>_xll.BDH("AMZN US Equity","EQY_DPS","FQ3 2008","FQ3 2008","Currency=USD","Period=FQ","BEST_FPERIOD_OVERRIDE=FQ","FILING_STATUS=OR","Sort=A","Dates=H","DateFormat=P","Fill=—","Direction=H","UseDPDF=Y")</f>
        <v>0</v>
      </c>
      <c r="AP54" s="14">
        <f>_xll.BDH("AMZN US Equity","EQY_DPS","FQ4 2008","FQ4 2008","Currency=USD","Period=FQ","BEST_FPERIOD_OVERRIDE=FQ","FILING_STATUS=OR","Sort=A","Dates=H","DateFormat=P","Fill=—","Direction=H","UseDPDF=Y")</f>
        <v>0</v>
      </c>
    </row>
    <row r="55" spans="1:42" x14ac:dyDescent="0.25">
      <c r="A55" s="10" t="s">
        <v>169</v>
      </c>
      <c r="B55" s="10" t="s">
        <v>170</v>
      </c>
      <c r="C55" s="13">
        <f>_xll.BDH("AMZN US Equity","IS_TOT_CASH_COM_DVD","FQ4 1998","FQ4 1998","Currency=USD","Period=FQ","BEST_FPERIOD_OVERRIDE=FQ","FILING_STATUS=OR","SCALING_FORMAT=MLN","Sort=A","Dates=H","DateFormat=P","Fill=—","Direction=H","UseDPDF=Y")</f>
        <v>0</v>
      </c>
      <c r="D55" s="13">
        <f>_xll.BDH("AMZN US Equity","IS_TOT_CASH_COM_DVD","FQ1 1999","FQ1 1999","Currency=USD","Period=FQ","BEST_FPERIOD_OVERRIDE=FQ","FILING_STATUS=OR","SCALING_FORMAT=MLN","Sort=A","Dates=H","DateFormat=P","Fill=—","Direction=H","UseDPDF=Y")</f>
        <v>0</v>
      </c>
      <c r="E55" s="13">
        <f>_xll.BDH("AMZN US Equity","IS_TOT_CASH_COM_DVD","FQ2 1999","FQ2 1999","Currency=USD","Period=FQ","BEST_FPERIOD_OVERRIDE=FQ","FILING_STATUS=OR","SCALING_FORMAT=MLN","Sort=A","Dates=H","DateFormat=P","Fill=—","Direction=H","UseDPDF=Y")</f>
        <v>0</v>
      </c>
      <c r="F55" s="13">
        <f>_xll.BDH("AMZN US Equity","IS_TOT_CASH_COM_DVD","FQ3 1999","FQ3 1999","Currency=USD","Period=FQ","BEST_FPERIOD_OVERRIDE=FQ","FILING_STATUS=OR","SCALING_FORMAT=MLN","Sort=A","Dates=H","DateFormat=P","Fill=—","Direction=H","UseDPDF=Y")</f>
        <v>0</v>
      </c>
      <c r="G55" s="13">
        <f>_xll.BDH("AMZN US Equity","IS_TOT_CASH_COM_DVD","FQ4 1999","FQ4 1999","Currency=USD","Period=FQ","BEST_FPERIOD_OVERRIDE=FQ","FILING_STATUS=OR","SCALING_FORMAT=MLN","Sort=A","Dates=H","DateFormat=P","Fill=—","Direction=H","UseDPDF=Y")</f>
        <v>0</v>
      </c>
      <c r="H55" s="13">
        <f>_xll.BDH("AMZN US Equity","IS_TOT_CASH_COM_DVD","FQ1 2000","FQ1 2000","Currency=USD","Period=FQ","BEST_FPERIOD_OVERRIDE=FQ","FILING_STATUS=OR","SCALING_FORMAT=MLN","Sort=A","Dates=H","DateFormat=P","Fill=—","Direction=H","UseDPDF=Y")</f>
        <v>0</v>
      </c>
      <c r="I55" s="13">
        <f>_xll.BDH("AMZN US Equity","IS_TOT_CASH_COM_DVD","FQ3 2000","FQ3 2000","Currency=USD","Period=FQ","BEST_FPERIOD_OVERRIDE=FQ","FILING_STATUS=OR","SCALING_FORMAT=MLN","Sort=A","Dates=H","DateFormat=P","Fill=—","Direction=H","UseDPDF=Y")</f>
        <v>0</v>
      </c>
      <c r="J55" s="13">
        <f>_xll.BDH("AMZN US Equity","IS_TOT_CASH_COM_DVD","FQ4 2000","FQ4 2000","Currency=USD","Period=FQ","BEST_FPERIOD_OVERRIDE=FQ","FILING_STATUS=OR","SCALING_FORMAT=MLN","Sort=A","Dates=H","DateFormat=P","Fill=—","Direction=H","UseDPDF=Y")</f>
        <v>0</v>
      </c>
      <c r="K55" s="13">
        <f>_xll.BDH("AMZN US Equity","IS_TOT_CASH_COM_DVD","FQ1 2001","FQ1 2001","Currency=USD","Period=FQ","BEST_FPERIOD_OVERRIDE=FQ","FILING_STATUS=OR","SCALING_FORMAT=MLN","Sort=A","Dates=H","DateFormat=P","Fill=—","Direction=H","UseDPDF=Y")</f>
        <v>0</v>
      </c>
      <c r="L55" s="13">
        <f>_xll.BDH("AMZN US Equity","IS_TOT_CASH_COM_DVD","FQ2 2001","FQ2 2001","Currency=USD","Period=FQ","BEST_FPERIOD_OVERRIDE=FQ","FILING_STATUS=OR","SCALING_FORMAT=MLN","Sort=A","Dates=H","DateFormat=P","Fill=—","Direction=H","UseDPDF=Y")</f>
        <v>0</v>
      </c>
      <c r="M55" s="13">
        <f>_xll.BDH("AMZN US Equity","IS_TOT_CASH_COM_DVD","FQ3 2001","FQ3 2001","Currency=USD","Period=FQ","BEST_FPERIOD_OVERRIDE=FQ","FILING_STATUS=OR","SCALING_FORMAT=MLN","Sort=A","Dates=H","DateFormat=P","Fill=—","Direction=H","UseDPDF=Y")</f>
        <v>0</v>
      </c>
      <c r="N55" s="13">
        <f>_xll.BDH("AMZN US Equity","IS_TOT_CASH_COM_DVD","FQ4 2001","FQ4 2001","Currency=USD","Period=FQ","BEST_FPERIOD_OVERRIDE=FQ","FILING_STATUS=OR","SCALING_FORMAT=MLN","Sort=A","Dates=H","DateFormat=P","Fill=—","Direction=H","UseDPDF=Y")</f>
        <v>0</v>
      </c>
      <c r="O55" s="13">
        <f>_xll.BDH("AMZN US Equity","IS_TOT_CASH_COM_DVD","FQ1 2002","FQ1 2002","Currency=USD","Period=FQ","BEST_FPERIOD_OVERRIDE=FQ","FILING_STATUS=OR","SCALING_FORMAT=MLN","Sort=A","Dates=H","DateFormat=P","Fill=—","Direction=H","UseDPDF=Y")</f>
        <v>0</v>
      </c>
      <c r="P55" s="13">
        <f>_xll.BDH("AMZN US Equity","IS_TOT_CASH_COM_DVD","FQ2 2002","FQ2 2002","Currency=USD","Period=FQ","BEST_FPERIOD_OVERRIDE=FQ","FILING_STATUS=OR","SCALING_FORMAT=MLN","Sort=A","Dates=H","DateFormat=P","Fill=—","Direction=H","UseDPDF=Y")</f>
        <v>0</v>
      </c>
      <c r="Q55" s="13">
        <f>_xll.BDH("AMZN US Equity","IS_TOT_CASH_COM_DVD","FQ3 2002","FQ3 2002","Currency=USD","Period=FQ","BEST_FPERIOD_OVERRIDE=FQ","FILING_STATUS=OR","SCALING_FORMAT=MLN","Sort=A","Dates=H","DateFormat=P","Fill=—","Direction=H","UseDPDF=Y")</f>
        <v>0</v>
      </c>
      <c r="R55" s="13">
        <f>_xll.BDH("AMZN US Equity","IS_TOT_CASH_COM_DVD","FQ4 2002","FQ4 2002","Currency=USD","Period=FQ","BEST_FPERIOD_OVERRIDE=FQ","FILING_STATUS=OR","SCALING_FORMAT=MLN","Sort=A","Dates=H","DateFormat=P","Fill=—","Direction=H","UseDPDF=Y")</f>
        <v>0</v>
      </c>
      <c r="S55" s="13">
        <f>_xll.BDH("AMZN US Equity","IS_TOT_CASH_COM_DVD","FQ1 2003","FQ1 2003","Currency=USD","Period=FQ","BEST_FPERIOD_OVERRIDE=FQ","FILING_STATUS=OR","SCALING_FORMAT=MLN","Sort=A","Dates=H","DateFormat=P","Fill=—","Direction=H","UseDPDF=Y")</f>
        <v>0</v>
      </c>
      <c r="T55" s="13">
        <f>_xll.BDH("AMZN US Equity","IS_TOT_CASH_COM_DVD","FQ2 2003","FQ2 2003","Currency=USD","Period=FQ","BEST_FPERIOD_OVERRIDE=FQ","FILING_STATUS=OR","SCALING_FORMAT=MLN","Sort=A","Dates=H","DateFormat=P","Fill=—","Direction=H","UseDPDF=Y")</f>
        <v>0</v>
      </c>
      <c r="U55" s="13">
        <f>_xll.BDH("AMZN US Equity","IS_TOT_CASH_COM_DVD","FQ3 2003","FQ3 2003","Currency=USD","Period=FQ","BEST_FPERIOD_OVERRIDE=FQ","FILING_STATUS=OR","SCALING_FORMAT=MLN","Sort=A","Dates=H","DateFormat=P","Fill=—","Direction=H","UseDPDF=Y")</f>
        <v>0</v>
      </c>
      <c r="V55" s="13">
        <f>_xll.BDH("AMZN US Equity","IS_TOT_CASH_COM_DVD","FQ4 2003","FQ4 2003","Currency=USD","Period=FQ","BEST_FPERIOD_OVERRIDE=FQ","FILING_STATUS=OR","SCALING_FORMAT=MLN","Sort=A","Dates=H","DateFormat=P","Fill=—","Direction=H","UseDPDF=Y")</f>
        <v>0</v>
      </c>
      <c r="W55" s="13">
        <f>_xll.BDH("AMZN US Equity","IS_TOT_CASH_COM_DVD","FQ1 2004","FQ1 2004","Currency=USD","Period=FQ","BEST_FPERIOD_OVERRIDE=FQ","FILING_STATUS=OR","SCALING_FORMAT=MLN","Sort=A","Dates=H","DateFormat=P","Fill=—","Direction=H","UseDPDF=Y")</f>
        <v>0</v>
      </c>
      <c r="X55" s="13">
        <f>_xll.BDH("AMZN US Equity","IS_TOT_CASH_COM_DVD","FQ2 2004","FQ2 2004","Currency=USD","Period=FQ","BEST_FPERIOD_OVERRIDE=FQ","FILING_STATUS=OR","SCALING_FORMAT=MLN","Sort=A","Dates=H","DateFormat=P","Fill=—","Direction=H","UseDPDF=Y")</f>
        <v>0</v>
      </c>
      <c r="Y55" s="13">
        <f>_xll.BDH("AMZN US Equity","IS_TOT_CASH_COM_DVD","FQ3 2004","FQ3 2004","Currency=USD","Period=FQ","BEST_FPERIOD_OVERRIDE=FQ","FILING_STATUS=OR","SCALING_FORMAT=MLN","Sort=A","Dates=H","DateFormat=P","Fill=—","Direction=H","UseDPDF=Y")</f>
        <v>0</v>
      </c>
      <c r="Z55" s="13">
        <f>_xll.BDH("AMZN US Equity","IS_TOT_CASH_COM_DVD","FQ4 2004","FQ4 2004","Currency=USD","Period=FQ","BEST_FPERIOD_OVERRIDE=FQ","FILING_STATUS=OR","SCALING_FORMAT=MLN","Sort=A","Dates=H","DateFormat=P","Fill=—","Direction=H","UseDPDF=Y")</f>
        <v>0</v>
      </c>
      <c r="AA55" s="13">
        <f>_xll.BDH("AMZN US Equity","IS_TOT_CASH_COM_DVD","FQ1 2005","FQ1 2005","Currency=USD","Period=FQ","BEST_FPERIOD_OVERRIDE=FQ","FILING_STATUS=OR","SCALING_FORMAT=MLN","Sort=A","Dates=H","DateFormat=P","Fill=—","Direction=H","UseDPDF=Y")</f>
        <v>0</v>
      </c>
      <c r="AB55" s="13">
        <f>_xll.BDH("AMZN US Equity","IS_TOT_CASH_COM_DVD","FQ2 2005","FQ2 2005","Currency=USD","Period=FQ","BEST_FPERIOD_OVERRIDE=FQ","FILING_STATUS=OR","SCALING_FORMAT=MLN","Sort=A","Dates=H","DateFormat=P","Fill=—","Direction=H","UseDPDF=Y")</f>
        <v>0</v>
      </c>
      <c r="AC55" s="13">
        <f>_xll.BDH("AMZN US Equity","IS_TOT_CASH_COM_DVD","FQ3 2005","FQ3 2005","Currency=USD","Period=FQ","BEST_FPERIOD_OVERRIDE=FQ","FILING_STATUS=OR","SCALING_FORMAT=MLN","Sort=A","Dates=H","DateFormat=P","Fill=—","Direction=H","UseDPDF=Y")</f>
        <v>0</v>
      </c>
      <c r="AD55" s="13">
        <f>_xll.BDH("AMZN US Equity","IS_TOT_CASH_COM_DVD","FQ4 2005","FQ4 2005","Currency=USD","Period=FQ","BEST_FPERIOD_OVERRIDE=FQ","FILING_STATUS=OR","SCALING_FORMAT=MLN","Sort=A","Dates=H","DateFormat=P","Fill=—","Direction=H","UseDPDF=Y")</f>
        <v>0</v>
      </c>
      <c r="AE55" s="13">
        <f>_xll.BDH("AMZN US Equity","IS_TOT_CASH_COM_DVD","FQ1 2006","FQ1 2006","Currency=USD","Period=FQ","BEST_FPERIOD_OVERRIDE=FQ","FILING_STATUS=OR","SCALING_FORMAT=MLN","Sort=A","Dates=H","DateFormat=P","Fill=—","Direction=H","UseDPDF=Y")</f>
        <v>0</v>
      </c>
      <c r="AF55" s="13">
        <f>_xll.BDH("AMZN US Equity","IS_TOT_CASH_COM_DVD","FQ2 2006","FQ2 2006","Currency=USD","Period=FQ","BEST_FPERIOD_OVERRIDE=FQ","FILING_STATUS=OR","SCALING_FORMAT=MLN","Sort=A","Dates=H","DateFormat=P","Fill=—","Direction=H","UseDPDF=Y")</f>
        <v>0</v>
      </c>
      <c r="AG55" s="13">
        <f>_xll.BDH("AMZN US Equity","IS_TOT_CASH_COM_DVD","FQ3 2006","FQ3 2006","Currency=USD","Period=FQ","BEST_FPERIOD_OVERRIDE=FQ","FILING_STATUS=OR","SCALING_FORMAT=MLN","Sort=A","Dates=H","DateFormat=P","Fill=—","Direction=H","UseDPDF=Y")</f>
        <v>0</v>
      </c>
      <c r="AH55" s="13">
        <f>_xll.BDH("AMZN US Equity","IS_TOT_CASH_COM_DVD","FQ4 2006","FQ4 2006","Currency=USD","Period=FQ","BEST_FPERIOD_OVERRIDE=FQ","FILING_STATUS=OR","SCALING_FORMAT=MLN","Sort=A","Dates=H","DateFormat=P","Fill=—","Direction=H","UseDPDF=Y")</f>
        <v>0</v>
      </c>
      <c r="AI55" s="13">
        <f>_xll.BDH("AMZN US Equity","IS_TOT_CASH_COM_DVD","FQ1 2007","FQ1 2007","Currency=USD","Period=FQ","BEST_FPERIOD_OVERRIDE=FQ","FILING_STATUS=OR","SCALING_FORMAT=MLN","Sort=A","Dates=H","DateFormat=P","Fill=—","Direction=H","UseDPDF=Y")</f>
        <v>0</v>
      </c>
      <c r="AJ55" s="13">
        <f>_xll.BDH("AMZN US Equity","IS_TOT_CASH_COM_DVD","FQ2 2007","FQ2 2007","Currency=USD","Period=FQ","BEST_FPERIOD_OVERRIDE=FQ","FILING_STATUS=OR","SCALING_FORMAT=MLN","Sort=A","Dates=H","DateFormat=P","Fill=—","Direction=H","UseDPDF=Y")</f>
        <v>0</v>
      </c>
      <c r="AK55" s="13">
        <f>_xll.BDH("AMZN US Equity","IS_TOT_CASH_COM_DVD","FQ3 2007","FQ3 2007","Currency=USD","Period=FQ","BEST_FPERIOD_OVERRIDE=FQ","FILING_STATUS=OR","SCALING_FORMAT=MLN","Sort=A","Dates=H","DateFormat=P","Fill=—","Direction=H","UseDPDF=Y")</f>
        <v>0</v>
      </c>
      <c r="AL55" s="13">
        <f>_xll.BDH("AMZN US Equity","IS_TOT_CASH_COM_DVD","FQ4 2007","FQ4 2007","Currency=USD","Period=FQ","BEST_FPERIOD_OVERRIDE=FQ","FILING_STATUS=OR","SCALING_FORMAT=MLN","Sort=A","Dates=H","DateFormat=P","Fill=—","Direction=H","UseDPDF=Y")</f>
        <v>0</v>
      </c>
      <c r="AM55" s="13">
        <f>_xll.BDH("AMZN US Equity","IS_TOT_CASH_COM_DVD","FQ1 2008","FQ1 2008","Currency=USD","Period=FQ","BEST_FPERIOD_OVERRIDE=FQ","FILING_STATUS=OR","SCALING_FORMAT=MLN","Sort=A","Dates=H","DateFormat=P","Fill=—","Direction=H","UseDPDF=Y")</f>
        <v>0</v>
      </c>
      <c r="AN55" s="13">
        <f>_xll.BDH("AMZN US Equity","IS_TOT_CASH_COM_DVD","FQ2 2008","FQ2 2008","Currency=USD","Period=FQ","BEST_FPERIOD_OVERRIDE=FQ","FILING_STATUS=OR","SCALING_FORMAT=MLN","Sort=A","Dates=H","DateFormat=P","Fill=—","Direction=H","UseDPDF=Y")</f>
        <v>0</v>
      </c>
      <c r="AO55" s="13">
        <f>_xll.BDH("AMZN US Equity","IS_TOT_CASH_COM_DVD","FQ3 2008","FQ3 2008","Currency=USD","Period=FQ","BEST_FPERIOD_OVERRIDE=FQ","FILING_STATUS=OR","SCALING_FORMAT=MLN","Sort=A","Dates=H","DateFormat=P","Fill=—","Direction=H","UseDPDF=Y")</f>
        <v>0</v>
      </c>
      <c r="AP55" s="13">
        <f>_xll.BDH("AMZN US Equity","IS_TOT_CASH_COM_DVD","FQ4 2008","FQ4 2008","Currency=USD","Period=FQ","BEST_FPERIOD_OVERRIDE=FQ","FILING_STATUS=OR","SCALING_FORMAT=MLN","Sort=A","Dates=H","DateFormat=P","Fill=—","Direction=H","UseDPDF=Y")</f>
        <v>0</v>
      </c>
    </row>
    <row r="56" spans="1:42" x14ac:dyDescent="0.25">
      <c r="A56" s="10" t="s">
        <v>171</v>
      </c>
      <c r="B56" s="10" t="s">
        <v>172</v>
      </c>
      <c r="C56" s="13" t="str">
        <f>_xll.BDH("AMZN US Equity","IS_CAP_INT_EXP","FQ4 1998","FQ4 1998","Currency=USD","Period=FQ","BEST_FPERIOD_OVERRIDE=FQ","FILING_STATUS=OR","SCALING_FORMAT=MLN","Sort=A","Dates=H","DateFormat=P","Fill=—","Direction=H","UseDPDF=Y")</f>
        <v>—</v>
      </c>
      <c r="D56" s="13" t="str">
        <f>_xll.BDH("AMZN US Equity","IS_CAP_INT_EXP","FQ1 1999","FQ1 1999","Currency=USD","Period=FQ","BEST_FPERIOD_OVERRIDE=FQ","FILING_STATUS=OR","SCALING_FORMAT=MLN","Sort=A","Dates=H","DateFormat=P","Fill=—","Direction=H","UseDPDF=Y")</f>
        <v>—</v>
      </c>
      <c r="E56" s="13" t="str">
        <f>_xll.BDH("AMZN US Equity","IS_CAP_INT_EXP","FQ2 1999","FQ2 1999","Currency=USD","Period=FQ","BEST_FPERIOD_OVERRIDE=FQ","FILING_STATUS=OR","SCALING_FORMAT=MLN","Sort=A","Dates=H","DateFormat=P","Fill=—","Direction=H","UseDPDF=Y")</f>
        <v>—</v>
      </c>
      <c r="F56" s="13" t="str">
        <f>_xll.BDH("AMZN US Equity","IS_CAP_INT_EXP","FQ3 1999","FQ3 1999","Currency=USD","Period=FQ","BEST_FPERIOD_OVERRIDE=FQ","FILING_STATUS=OR","SCALING_FORMAT=MLN","Sort=A","Dates=H","DateFormat=P","Fill=—","Direction=H","UseDPDF=Y")</f>
        <v>—</v>
      </c>
      <c r="G56" s="13" t="str">
        <f>_xll.BDH("AMZN US Equity","IS_CAP_INT_EXP","FQ4 1999","FQ4 1999","Currency=USD","Period=FQ","BEST_FPERIOD_OVERRIDE=FQ","FILING_STATUS=OR","SCALING_FORMAT=MLN","Sort=A","Dates=H","DateFormat=P","Fill=—","Direction=H","UseDPDF=Y")</f>
        <v>—</v>
      </c>
      <c r="H56" s="13" t="str">
        <f>_xll.BDH("AMZN US Equity","IS_CAP_INT_EXP","FQ1 2000","FQ1 2000","Currency=USD","Period=FQ","BEST_FPERIOD_OVERRIDE=FQ","FILING_STATUS=OR","SCALING_FORMAT=MLN","Sort=A","Dates=H","DateFormat=P","Fill=—","Direction=H","UseDPDF=Y")</f>
        <v>—</v>
      </c>
      <c r="I56" s="13" t="str">
        <f>_xll.BDH("AMZN US Equity","IS_CAP_INT_EXP","FQ3 2000","FQ3 2000","Currency=USD","Period=FQ","BEST_FPERIOD_OVERRIDE=FQ","FILING_STATUS=OR","SCALING_FORMAT=MLN","Sort=A","Dates=H","DateFormat=P","Fill=—","Direction=H","UseDPDF=Y")</f>
        <v>—</v>
      </c>
      <c r="J56" s="13" t="str">
        <f>_xll.BDH("AMZN US Equity","IS_CAP_INT_EXP","FQ4 2000","FQ4 2000","Currency=USD","Period=FQ","BEST_FPERIOD_OVERRIDE=FQ","FILING_STATUS=OR","SCALING_FORMAT=MLN","Sort=A","Dates=H","DateFormat=P","Fill=—","Direction=H","UseDPDF=Y")</f>
        <v>—</v>
      </c>
      <c r="K56" s="13" t="str">
        <f>_xll.BDH("AMZN US Equity","IS_CAP_INT_EXP","FQ1 2001","FQ1 2001","Currency=USD","Period=FQ","BEST_FPERIOD_OVERRIDE=FQ","FILING_STATUS=OR","SCALING_FORMAT=MLN","Sort=A","Dates=H","DateFormat=P","Fill=—","Direction=H","UseDPDF=Y")</f>
        <v>—</v>
      </c>
      <c r="L56" s="13" t="str">
        <f>_xll.BDH("AMZN US Equity","IS_CAP_INT_EXP","FQ2 2001","FQ2 2001","Currency=USD","Period=FQ","BEST_FPERIOD_OVERRIDE=FQ","FILING_STATUS=OR","SCALING_FORMAT=MLN","Sort=A","Dates=H","DateFormat=P","Fill=—","Direction=H","UseDPDF=Y")</f>
        <v>—</v>
      </c>
      <c r="M56" s="13" t="str">
        <f>_xll.BDH("AMZN US Equity","IS_CAP_INT_EXP","FQ3 2001","FQ3 2001","Currency=USD","Period=FQ","BEST_FPERIOD_OVERRIDE=FQ","FILING_STATUS=OR","SCALING_FORMAT=MLN","Sort=A","Dates=H","DateFormat=P","Fill=—","Direction=H","UseDPDF=Y")</f>
        <v>—</v>
      </c>
      <c r="N56" s="13" t="str">
        <f>_xll.BDH("AMZN US Equity","IS_CAP_INT_EXP","FQ4 2001","FQ4 2001","Currency=USD","Period=FQ","BEST_FPERIOD_OVERRIDE=FQ","FILING_STATUS=OR","SCALING_FORMAT=MLN","Sort=A","Dates=H","DateFormat=P","Fill=—","Direction=H","UseDPDF=Y")</f>
        <v>—</v>
      </c>
      <c r="O56" s="13" t="str">
        <f>_xll.BDH("AMZN US Equity","IS_CAP_INT_EXP","FQ1 2002","FQ1 2002","Currency=USD","Period=FQ","BEST_FPERIOD_OVERRIDE=FQ","FILING_STATUS=OR","SCALING_FORMAT=MLN","Sort=A","Dates=H","DateFormat=P","Fill=—","Direction=H","UseDPDF=Y")</f>
        <v>—</v>
      </c>
      <c r="P56" s="13" t="str">
        <f>_xll.BDH("AMZN US Equity","IS_CAP_INT_EXP","FQ2 2002","FQ2 2002","Currency=USD","Period=FQ","BEST_FPERIOD_OVERRIDE=FQ","FILING_STATUS=OR","SCALING_FORMAT=MLN","Sort=A","Dates=H","DateFormat=P","Fill=—","Direction=H","UseDPDF=Y")</f>
        <v>—</v>
      </c>
      <c r="Q56" s="13" t="str">
        <f>_xll.BDH("AMZN US Equity","IS_CAP_INT_EXP","FQ3 2002","FQ3 2002","Currency=USD","Period=FQ","BEST_FPERIOD_OVERRIDE=FQ","FILING_STATUS=OR","SCALING_FORMAT=MLN","Sort=A","Dates=H","DateFormat=P","Fill=—","Direction=H","UseDPDF=Y")</f>
        <v>—</v>
      </c>
      <c r="R56" s="13" t="str">
        <f>_xll.BDH("AMZN US Equity","IS_CAP_INT_EXP","FQ4 2002","FQ4 2002","Currency=USD","Period=FQ","BEST_FPERIOD_OVERRIDE=FQ","FILING_STATUS=OR","SCALING_FORMAT=MLN","Sort=A","Dates=H","DateFormat=P","Fill=—","Direction=H","UseDPDF=Y")</f>
        <v>—</v>
      </c>
      <c r="S56" s="13" t="str">
        <f>_xll.BDH("AMZN US Equity","IS_CAP_INT_EXP","FQ1 2003","FQ1 2003","Currency=USD","Period=FQ","BEST_FPERIOD_OVERRIDE=FQ","FILING_STATUS=OR","SCALING_FORMAT=MLN","Sort=A","Dates=H","DateFormat=P","Fill=—","Direction=H","UseDPDF=Y")</f>
        <v>—</v>
      </c>
      <c r="T56" s="13" t="str">
        <f>_xll.BDH("AMZN US Equity","IS_CAP_INT_EXP","FQ2 2003","FQ2 2003","Currency=USD","Period=FQ","BEST_FPERIOD_OVERRIDE=FQ","FILING_STATUS=OR","SCALING_FORMAT=MLN","Sort=A","Dates=H","DateFormat=P","Fill=—","Direction=H","UseDPDF=Y")</f>
        <v>—</v>
      </c>
      <c r="U56" s="13" t="str">
        <f>_xll.BDH("AMZN US Equity","IS_CAP_INT_EXP","FQ3 2003","FQ3 2003","Currency=USD","Period=FQ","BEST_FPERIOD_OVERRIDE=FQ","FILING_STATUS=OR","SCALING_FORMAT=MLN","Sort=A","Dates=H","DateFormat=P","Fill=—","Direction=H","UseDPDF=Y")</f>
        <v>—</v>
      </c>
      <c r="V56" s="13" t="str">
        <f>_xll.BDH("AMZN US Equity","IS_CAP_INT_EXP","FQ4 2003","FQ4 2003","Currency=USD","Period=FQ","BEST_FPERIOD_OVERRIDE=FQ","FILING_STATUS=OR","SCALING_FORMAT=MLN","Sort=A","Dates=H","DateFormat=P","Fill=—","Direction=H","UseDPDF=Y")</f>
        <v>—</v>
      </c>
      <c r="W56" s="13" t="str">
        <f>_xll.BDH("AMZN US Equity","IS_CAP_INT_EXP","FQ1 2004","FQ1 2004","Currency=USD","Period=FQ","BEST_FPERIOD_OVERRIDE=FQ","FILING_STATUS=OR","SCALING_FORMAT=MLN","Sort=A","Dates=H","DateFormat=P","Fill=—","Direction=H","UseDPDF=Y")</f>
        <v>—</v>
      </c>
      <c r="X56" s="13" t="str">
        <f>_xll.BDH("AMZN US Equity","IS_CAP_INT_EXP","FQ2 2004","FQ2 2004","Currency=USD","Period=FQ","BEST_FPERIOD_OVERRIDE=FQ","FILING_STATUS=OR","SCALING_FORMAT=MLN","Sort=A","Dates=H","DateFormat=P","Fill=—","Direction=H","UseDPDF=Y")</f>
        <v>—</v>
      </c>
      <c r="Y56" s="13" t="str">
        <f>_xll.BDH("AMZN US Equity","IS_CAP_INT_EXP","FQ3 2004","FQ3 2004","Currency=USD","Period=FQ","BEST_FPERIOD_OVERRIDE=FQ","FILING_STATUS=OR","SCALING_FORMAT=MLN","Sort=A","Dates=H","DateFormat=P","Fill=—","Direction=H","UseDPDF=Y")</f>
        <v>—</v>
      </c>
      <c r="Z56" s="13" t="str">
        <f>_xll.BDH("AMZN US Equity","IS_CAP_INT_EXP","FQ4 2004","FQ4 2004","Currency=USD","Period=FQ","BEST_FPERIOD_OVERRIDE=FQ","FILING_STATUS=OR","SCALING_FORMAT=MLN","Sort=A","Dates=H","DateFormat=P","Fill=—","Direction=H","UseDPDF=Y")</f>
        <v>—</v>
      </c>
      <c r="AA56" s="13" t="str">
        <f>_xll.BDH("AMZN US Equity","IS_CAP_INT_EXP","FQ1 2005","FQ1 2005","Currency=USD","Period=FQ","BEST_FPERIOD_OVERRIDE=FQ","FILING_STATUS=OR","SCALING_FORMAT=MLN","Sort=A","Dates=H","DateFormat=P","Fill=—","Direction=H","UseDPDF=Y")</f>
        <v>—</v>
      </c>
      <c r="AB56" s="13" t="str">
        <f>_xll.BDH("AMZN US Equity","IS_CAP_INT_EXP","FQ2 2005","FQ2 2005","Currency=USD","Period=FQ","BEST_FPERIOD_OVERRIDE=FQ","FILING_STATUS=OR","SCALING_FORMAT=MLN","Sort=A","Dates=H","DateFormat=P","Fill=—","Direction=H","UseDPDF=Y")</f>
        <v>—</v>
      </c>
      <c r="AC56" s="13" t="str">
        <f>_xll.BDH("AMZN US Equity","IS_CAP_INT_EXP","FQ3 2005","FQ3 2005","Currency=USD","Period=FQ","BEST_FPERIOD_OVERRIDE=FQ","FILING_STATUS=OR","SCALING_FORMAT=MLN","Sort=A","Dates=H","DateFormat=P","Fill=—","Direction=H","UseDPDF=Y")</f>
        <v>—</v>
      </c>
      <c r="AD56" s="13" t="str">
        <f>_xll.BDH("AMZN US Equity","IS_CAP_INT_EXP","FQ4 2005","FQ4 2005","Currency=USD","Period=FQ","BEST_FPERIOD_OVERRIDE=FQ","FILING_STATUS=OR","SCALING_FORMAT=MLN","Sort=A","Dates=H","DateFormat=P","Fill=—","Direction=H","UseDPDF=Y")</f>
        <v>—</v>
      </c>
      <c r="AE56" s="13">
        <f>_xll.BDH("AMZN US Equity","IS_CAP_INT_EXP","FQ1 2006","FQ1 2006","Currency=USD","Period=FQ","BEST_FPERIOD_OVERRIDE=FQ","FILING_STATUS=OR","SCALING_FORMAT=MLN","Sort=A","Dates=H","DateFormat=P","Fill=—","Direction=H","UseDPDF=Y")</f>
        <v>0</v>
      </c>
      <c r="AF56" s="13">
        <f>_xll.BDH("AMZN US Equity","IS_CAP_INT_EXP","FQ2 2006","FQ2 2006","Currency=USD","Period=FQ","BEST_FPERIOD_OVERRIDE=FQ","FILING_STATUS=OR","SCALING_FORMAT=MLN","Sort=A","Dates=H","DateFormat=P","Fill=—","Direction=H","UseDPDF=Y")</f>
        <v>0</v>
      </c>
      <c r="AG56" s="13">
        <f>_xll.BDH("AMZN US Equity","IS_CAP_INT_EXP","FQ3 2006","FQ3 2006","Currency=USD","Period=FQ","BEST_FPERIOD_OVERRIDE=FQ","FILING_STATUS=OR","SCALING_FORMAT=MLN","Sort=A","Dates=H","DateFormat=P","Fill=—","Direction=H","UseDPDF=Y")</f>
        <v>0</v>
      </c>
      <c r="AH56" s="13">
        <f>_xll.BDH("AMZN US Equity","IS_CAP_INT_EXP","FQ4 2006","FQ4 2006","Currency=USD","Period=FQ","BEST_FPERIOD_OVERRIDE=FQ","FILING_STATUS=OR","SCALING_FORMAT=MLN","Sort=A","Dates=H","DateFormat=P","Fill=—","Direction=H","UseDPDF=Y")</f>
        <v>0</v>
      </c>
      <c r="AI56" s="13" t="str">
        <f>_xll.BDH("AMZN US Equity","IS_CAP_INT_EXP","FQ1 2007","FQ1 2007","Currency=USD","Period=FQ","BEST_FPERIOD_OVERRIDE=FQ","FILING_STATUS=OR","SCALING_FORMAT=MLN","Sort=A","Dates=H","DateFormat=P","Fill=—","Direction=H","UseDPDF=Y")</f>
        <v>—</v>
      </c>
      <c r="AJ56" s="13" t="str">
        <f>_xll.BDH("AMZN US Equity","IS_CAP_INT_EXP","FQ2 2007","FQ2 2007","Currency=USD","Period=FQ","BEST_FPERIOD_OVERRIDE=FQ","FILING_STATUS=OR","SCALING_FORMAT=MLN","Sort=A","Dates=H","DateFormat=P","Fill=—","Direction=H","UseDPDF=Y")</f>
        <v>—</v>
      </c>
      <c r="AK56" s="13" t="str">
        <f>_xll.BDH("AMZN US Equity","IS_CAP_INT_EXP","FQ3 2007","FQ3 2007","Currency=USD","Period=FQ","BEST_FPERIOD_OVERRIDE=FQ","FILING_STATUS=OR","SCALING_FORMAT=MLN","Sort=A","Dates=H","DateFormat=P","Fill=—","Direction=H","UseDPDF=Y")</f>
        <v>—</v>
      </c>
      <c r="AL56" s="13" t="str">
        <f>_xll.BDH("AMZN US Equity","IS_CAP_INT_EXP","FQ4 2007","FQ4 2007","Currency=USD","Period=FQ","BEST_FPERIOD_OVERRIDE=FQ","FILING_STATUS=OR","SCALING_FORMAT=MLN","Sort=A","Dates=H","DateFormat=P","Fill=—","Direction=H","UseDPDF=Y")</f>
        <v>—</v>
      </c>
      <c r="AM56" s="13" t="str">
        <f>_xll.BDH("AMZN US Equity","IS_CAP_INT_EXP","FQ1 2008","FQ1 2008","Currency=USD","Period=FQ","BEST_FPERIOD_OVERRIDE=FQ","FILING_STATUS=OR","SCALING_FORMAT=MLN","Sort=A","Dates=H","DateFormat=P","Fill=—","Direction=H","UseDPDF=Y")</f>
        <v>—</v>
      </c>
      <c r="AN56" s="13" t="str">
        <f>_xll.BDH("AMZN US Equity","IS_CAP_INT_EXP","FQ2 2008","FQ2 2008","Currency=USD","Period=FQ","BEST_FPERIOD_OVERRIDE=FQ","FILING_STATUS=OR","SCALING_FORMAT=MLN","Sort=A","Dates=H","DateFormat=P","Fill=—","Direction=H","UseDPDF=Y")</f>
        <v>—</v>
      </c>
      <c r="AO56" s="13" t="str">
        <f>_xll.BDH("AMZN US Equity","IS_CAP_INT_EXP","FQ3 2008","FQ3 2008","Currency=USD","Period=FQ","BEST_FPERIOD_OVERRIDE=FQ","FILING_STATUS=OR","SCALING_FORMAT=MLN","Sort=A","Dates=H","DateFormat=P","Fill=—","Direction=H","UseDPDF=Y")</f>
        <v>—</v>
      </c>
      <c r="AP56" s="13" t="str">
        <f>_xll.BDH("AMZN US Equity","IS_CAP_INT_EXP","FQ4 2008","FQ4 2008","Currency=USD","Period=FQ","BEST_FPERIOD_OVERRIDE=FQ","FILING_STATUS=OR","SCALING_FORMAT=MLN","Sort=A","Dates=H","DateFormat=P","Fill=—","Direction=H","UseDPDF=Y")</f>
        <v>—</v>
      </c>
    </row>
    <row r="57" spans="1:42" x14ac:dyDescent="0.25">
      <c r="A57" s="10" t="s">
        <v>173</v>
      </c>
      <c r="B57" s="10" t="s">
        <v>174</v>
      </c>
      <c r="C57" s="13" t="str">
        <f>_xll.BDH("AMZN US Equity","IS_DEPR_EXP","FQ4 1998","FQ4 1998","Currency=USD","Period=FQ","BEST_FPERIOD_OVERRIDE=FQ","FILING_STATUS=OR","SCALING_FORMAT=MLN","Sort=A","Dates=H","DateFormat=P","Fill=—","Direction=H","UseDPDF=Y")</f>
        <v>—</v>
      </c>
      <c r="D57" s="13">
        <f>_xll.BDH("AMZN US Equity","IS_DEPR_EXP","FQ1 1999","FQ1 1999","Currency=USD","Period=FQ","BEST_FPERIOD_OVERRIDE=FQ","FILING_STATUS=OR","SCALING_FORMAT=MLN","Sort=A","Dates=H","DateFormat=P","Fill=—","Direction=H","UseDPDF=Y")</f>
        <v>5.2229999999999999</v>
      </c>
      <c r="E57" s="13">
        <f>_xll.BDH("AMZN US Equity","IS_DEPR_EXP","FQ2 1999","FQ2 1999","Currency=USD","Period=FQ","BEST_FPERIOD_OVERRIDE=FQ","FILING_STATUS=OR","SCALING_FORMAT=MLN","Sort=A","Dates=H","DateFormat=P","Fill=—","Direction=H","UseDPDF=Y")</f>
        <v>8.1020000000000003</v>
      </c>
      <c r="F57" s="13">
        <f>_xll.BDH("AMZN US Equity","IS_DEPR_EXP","FQ3 1999","FQ3 1999","Currency=USD","Period=FQ","BEST_FPERIOD_OVERRIDE=FQ","FILING_STATUS=OR","SCALING_FORMAT=MLN","Sort=A","Dates=H","DateFormat=P","Fill=—","Direction=H","UseDPDF=Y")</f>
        <v>9.6</v>
      </c>
      <c r="G57" s="13" t="str">
        <f>_xll.BDH("AMZN US Equity","IS_DEPR_EXP","FQ4 1999","FQ4 1999","Currency=USD","Period=FQ","BEST_FPERIOD_OVERRIDE=FQ","FILING_STATUS=OR","SCALING_FORMAT=MLN","Sort=A","Dates=H","DateFormat=P","Fill=—","Direction=H","UseDPDF=Y")</f>
        <v>—</v>
      </c>
      <c r="H57" s="13">
        <f>_xll.BDH("AMZN US Equity","IS_DEPR_EXP","FQ1 2000","FQ1 2000","Currency=USD","Period=FQ","BEST_FPERIOD_OVERRIDE=FQ","FILING_STATUS=OR","SCALING_FORMAT=MLN","Sort=A","Dates=H","DateFormat=P","Fill=—","Direction=H","UseDPDF=Y")</f>
        <v>18.18</v>
      </c>
      <c r="I57" s="13">
        <f>_xll.BDH("AMZN US Equity","IS_DEPR_EXP","FQ3 2000","FQ3 2000","Currency=USD","Period=FQ","BEST_FPERIOD_OVERRIDE=FQ","FILING_STATUS=OR","SCALING_FORMAT=MLN","Sort=A","Dates=H","DateFormat=P","Fill=—","Direction=H","UseDPDF=Y")</f>
        <v>22.856999999999999</v>
      </c>
      <c r="J57" s="13">
        <f>_xll.BDH("AMZN US Equity","IS_DEPR_EXP","FQ4 2000","FQ4 2000","Currency=USD","Period=FQ","BEST_FPERIOD_OVERRIDE=FQ","FILING_STATUS=OR","SCALING_FORMAT=MLN","Sort=A","Dates=H","DateFormat=P","Fill=—","Direction=H","UseDPDF=Y")</f>
        <v>21.280999999999999</v>
      </c>
      <c r="K57" s="13">
        <f>_xll.BDH("AMZN US Equity","IS_DEPR_EXP","FQ1 2001","FQ1 2001","Currency=USD","Period=FQ","BEST_FPERIOD_OVERRIDE=FQ","FILING_STATUS=OR","SCALING_FORMAT=MLN","Sort=A","Dates=H","DateFormat=P","Fill=—","Direction=H","UseDPDF=Y")</f>
        <v>23.073</v>
      </c>
      <c r="L57" s="13">
        <f>_xll.BDH("AMZN US Equity","IS_DEPR_EXP","FQ2 2001","FQ2 2001","Currency=USD","Period=FQ","BEST_FPERIOD_OVERRIDE=FQ","FILING_STATUS=OR","SCALING_FORMAT=MLN","Sort=A","Dates=H","DateFormat=P","Fill=—","Direction=H","UseDPDF=Y")</f>
        <v>20.794</v>
      </c>
      <c r="M57" s="13">
        <f>_xll.BDH("AMZN US Equity","IS_DEPR_EXP","FQ3 2001","FQ3 2001","Currency=USD","Period=FQ","BEST_FPERIOD_OVERRIDE=FQ","FILING_STATUS=OR","SCALING_FORMAT=MLN","Sort=A","Dates=H","DateFormat=P","Fill=—","Direction=H","UseDPDF=Y")</f>
        <v>19.795000000000002</v>
      </c>
      <c r="N57" s="13">
        <f>_xll.BDH("AMZN US Equity","IS_DEPR_EXP","FQ4 2001","FQ4 2001","Currency=USD","Period=FQ","BEST_FPERIOD_OVERRIDE=FQ","FILING_STATUS=OR","SCALING_FORMAT=MLN","Sort=A","Dates=H","DateFormat=P","Fill=—","Direction=H","UseDPDF=Y")</f>
        <v>19.338000000000001</v>
      </c>
      <c r="O57" s="13">
        <f>_xll.BDH("AMZN US Equity","IS_DEPR_EXP","FQ1 2002","FQ1 2002","Currency=USD","Period=FQ","BEST_FPERIOD_OVERRIDE=FQ","FILING_STATUS=OR","SCALING_FORMAT=MLN","Sort=A","Dates=H","DateFormat=P","Fill=—","Direction=H","UseDPDF=Y")</f>
        <v>20.94</v>
      </c>
      <c r="P57" s="13">
        <f>_xll.BDH("AMZN US Equity","IS_DEPR_EXP","FQ2 2002","FQ2 2002","Currency=USD","Period=FQ","BEST_FPERIOD_OVERRIDE=FQ","FILING_STATUS=OR","SCALING_FORMAT=MLN","Sort=A","Dates=H","DateFormat=P","Fill=—","Direction=H","UseDPDF=Y")</f>
        <v>20.97</v>
      </c>
      <c r="Q57" s="13">
        <f>_xll.BDH("AMZN US Equity","IS_DEPR_EXP","FQ3 2002","FQ3 2002","Currency=USD","Period=FQ","BEST_FPERIOD_OVERRIDE=FQ","FILING_STATUS=OR","SCALING_FORMAT=MLN","Sort=A","Dates=H","DateFormat=P","Fill=—","Direction=H","UseDPDF=Y")</f>
        <v>20.501000000000001</v>
      </c>
      <c r="R57" s="13">
        <f>_xll.BDH("AMZN US Equity","IS_DEPR_EXP","FQ4 2002","FQ4 2002","Currency=USD","Period=FQ","BEST_FPERIOD_OVERRIDE=FQ","FILING_STATUS=OR","SCALING_FORMAT=MLN","Sort=A","Dates=H","DateFormat=P","Fill=—","Direction=H","UseDPDF=Y")</f>
        <v>14.589</v>
      </c>
      <c r="S57" s="13">
        <f>_xll.BDH("AMZN US Equity","IS_DEPR_EXP","FQ1 2003","FQ1 2003","Currency=USD","Period=FQ","BEST_FPERIOD_OVERRIDE=FQ","FILING_STATUS=OR","SCALING_FORMAT=MLN","Sort=A","Dates=H","DateFormat=P","Fill=—","Direction=H","UseDPDF=Y")</f>
        <v>19.75</v>
      </c>
      <c r="T57" s="13">
        <f>_xll.BDH("AMZN US Equity","IS_DEPR_EXP","FQ2 2003","FQ2 2003","Currency=USD","Period=FQ","BEST_FPERIOD_OVERRIDE=FQ","FILING_STATUS=OR","SCALING_FORMAT=MLN","Sort=A","Dates=H","DateFormat=P","Fill=—","Direction=H","UseDPDF=Y")</f>
        <v>19.003</v>
      </c>
      <c r="U57" s="13">
        <f>_xll.BDH("AMZN US Equity","IS_DEPR_EXP","FQ3 2003","FQ3 2003","Currency=USD","Period=FQ","BEST_FPERIOD_OVERRIDE=FQ","FILING_STATUS=OR","SCALING_FORMAT=MLN","Sort=A","Dates=H","DateFormat=P","Fill=—","Direction=H","UseDPDF=Y")</f>
        <v>18.338000000000001</v>
      </c>
      <c r="V57" s="13">
        <f>_xll.BDH("AMZN US Equity","IS_DEPR_EXP","FQ4 2003","FQ4 2003","Currency=USD","Period=FQ","BEST_FPERIOD_OVERRIDE=FQ","FILING_STATUS=OR","SCALING_FORMAT=MLN","Sort=A","Dates=H","DateFormat=P","Fill=—","Direction=H","UseDPDF=Y")</f>
        <v>18.466999999999999</v>
      </c>
      <c r="W57" s="13">
        <f>_xll.BDH("AMZN US Equity","IS_DEPR_EXP","FQ1 2004","FQ1 2004","Currency=USD","Period=FQ","BEST_FPERIOD_OVERRIDE=FQ","FILING_STATUS=OR","SCALING_FORMAT=MLN","Sort=A","Dates=H","DateFormat=P","Fill=—","Direction=H","UseDPDF=Y")</f>
        <v>17.681000000000001</v>
      </c>
      <c r="X57" s="13">
        <f>_xll.BDH("AMZN US Equity","IS_DEPR_EXP","FQ2 2004","FQ2 2004","Currency=USD","Period=FQ","BEST_FPERIOD_OVERRIDE=FQ","FILING_STATUS=OR","SCALING_FORMAT=MLN","Sort=A","Dates=H","DateFormat=P","Fill=—","Direction=H","UseDPDF=Y")</f>
        <v>18.129000000000001</v>
      </c>
      <c r="Y57" s="13">
        <f>_xll.BDH("AMZN US Equity","IS_DEPR_EXP","FQ3 2004","FQ3 2004","Currency=USD","Period=FQ","BEST_FPERIOD_OVERRIDE=FQ","FILING_STATUS=OR","SCALING_FORMAT=MLN","Sort=A","Dates=H","DateFormat=P","Fill=—","Direction=H","UseDPDF=Y")</f>
        <v>19.082999999999998</v>
      </c>
      <c r="Z57" s="13">
        <f>_xll.BDH("AMZN US Equity","IS_DEPR_EXP","FQ4 2004","FQ4 2004","Currency=USD","Period=FQ","BEST_FPERIOD_OVERRIDE=FQ","FILING_STATUS=OR","SCALING_FORMAT=MLN","Sort=A","Dates=H","DateFormat=P","Fill=—","Direction=H","UseDPDF=Y")</f>
        <v>20.831</v>
      </c>
      <c r="AA57" s="13">
        <f>_xll.BDH("AMZN US Equity","IS_DEPR_EXP","FQ1 2005","FQ1 2005","Currency=USD","Period=FQ","BEST_FPERIOD_OVERRIDE=FQ","FILING_STATUS=OR","SCALING_FORMAT=MLN","Sort=A","Dates=H","DateFormat=P","Fill=—","Direction=H","UseDPDF=Y")</f>
        <v>28</v>
      </c>
      <c r="AB57" s="13">
        <f>_xll.BDH("AMZN US Equity","IS_DEPR_EXP","FQ2 2005","FQ2 2005","Currency=USD","Period=FQ","BEST_FPERIOD_OVERRIDE=FQ","FILING_STATUS=OR","SCALING_FORMAT=MLN","Sort=A","Dates=H","DateFormat=P","Fill=—","Direction=H","UseDPDF=Y")</f>
        <v>26</v>
      </c>
      <c r="AC57" s="13">
        <f>_xll.BDH("AMZN US Equity","IS_DEPR_EXP","FQ3 2005","FQ3 2005","Currency=USD","Period=FQ","BEST_FPERIOD_OVERRIDE=FQ","FILING_STATUS=OR","SCALING_FORMAT=MLN","Sort=A","Dates=H","DateFormat=P","Fill=—","Direction=H","UseDPDF=Y")</f>
        <v>30</v>
      </c>
      <c r="AD57" s="13">
        <f>_xll.BDH("AMZN US Equity","IS_DEPR_EXP","FQ4 2005","FQ4 2005","Currency=USD","Period=FQ","BEST_FPERIOD_OVERRIDE=FQ","FILING_STATUS=OR","SCALING_FORMAT=MLN","Sort=A","Dates=H","DateFormat=P","Fill=—","Direction=H","UseDPDF=Y")</f>
        <v>29</v>
      </c>
      <c r="AE57" s="13">
        <f>_xll.BDH("AMZN US Equity","IS_DEPR_EXP","FQ1 2006","FQ1 2006","Currency=USD","Period=FQ","BEST_FPERIOD_OVERRIDE=FQ","FILING_STATUS=OR","SCALING_FORMAT=MLN","Sort=A","Dates=H","DateFormat=P","Fill=—","Direction=H","UseDPDF=Y")</f>
        <v>38</v>
      </c>
      <c r="AF57" s="13">
        <f>_xll.BDH("AMZN US Equity","IS_DEPR_EXP","FQ2 2006","FQ2 2006","Currency=USD","Period=FQ","BEST_FPERIOD_OVERRIDE=FQ","FILING_STATUS=OR","SCALING_FORMAT=MLN","Sort=A","Dates=H","DateFormat=P","Fill=—","Direction=H","UseDPDF=Y")</f>
        <v>41</v>
      </c>
      <c r="AG57" s="13">
        <f>_xll.BDH("AMZN US Equity","IS_DEPR_EXP","FQ3 2006","FQ3 2006","Currency=USD","Period=FQ","BEST_FPERIOD_OVERRIDE=FQ","FILING_STATUS=OR","SCALING_FORMAT=MLN","Sort=A","Dates=H","DateFormat=P","Fill=—","Direction=H","UseDPDF=Y")</f>
        <v>62</v>
      </c>
      <c r="AH57" s="13">
        <f>_xll.BDH("AMZN US Equity","IS_DEPR_EXP","FQ4 2006","FQ4 2006","Currency=USD","Period=FQ","BEST_FPERIOD_OVERRIDE=FQ","FILING_STATUS=OR","SCALING_FORMAT=MLN","Sort=A","Dates=H","DateFormat=P","Fill=—","Direction=H","UseDPDF=Y")</f>
        <v>59</v>
      </c>
      <c r="AI57" s="13">
        <f>_xll.BDH("AMZN US Equity","IS_DEPR_EXP","FQ1 2007","FQ1 2007","Currency=USD","Period=FQ","BEST_FPERIOD_OVERRIDE=FQ","FILING_STATUS=OR","SCALING_FORMAT=MLN","Sort=A","Dates=H","DateFormat=P","Fill=—","Direction=H","UseDPDF=Y")</f>
        <v>62</v>
      </c>
      <c r="AJ57" s="13">
        <f>_xll.BDH("AMZN US Equity","IS_DEPR_EXP","FQ2 2007","FQ2 2007","Currency=USD","Period=FQ","BEST_FPERIOD_OVERRIDE=FQ","FILING_STATUS=OR","SCALING_FORMAT=MLN","Sort=A","Dates=H","DateFormat=P","Fill=—","Direction=H","UseDPDF=Y")</f>
        <v>60</v>
      </c>
      <c r="AK57" s="13">
        <f>_xll.BDH("AMZN US Equity","IS_DEPR_EXP","FQ3 2007","FQ3 2007","Currency=USD","Period=FQ","BEST_FPERIOD_OVERRIDE=FQ","FILING_STATUS=OR","SCALING_FORMAT=MLN","Sort=A","Dates=H","DateFormat=P","Fill=—","Direction=H","UseDPDF=Y")</f>
        <v>61</v>
      </c>
      <c r="AL57" s="13">
        <f>_xll.BDH("AMZN US Equity","IS_DEPR_EXP","FQ4 2007","FQ4 2007","Currency=USD","Period=FQ","BEST_FPERIOD_OVERRIDE=FQ","FILING_STATUS=OR","SCALING_FORMAT=MLN","Sort=A","Dates=H","DateFormat=P","Fill=—","Direction=H","UseDPDF=Y")</f>
        <v>63</v>
      </c>
      <c r="AM57" s="13">
        <f>_xll.BDH("AMZN US Equity","IS_DEPR_EXP","FQ1 2008","FQ1 2008","Currency=USD","Period=FQ","BEST_FPERIOD_OVERRIDE=FQ","FILING_STATUS=OR","SCALING_FORMAT=MLN","Sort=A","Dates=H","DateFormat=P","Fill=—","Direction=H","UseDPDF=Y")</f>
        <v>65</v>
      </c>
      <c r="AN57" s="13">
        <f>_xll.BDH("AMZN US Equity","IS_DEPR_EXP","FQ2 2008","FQ2 2008","Currency=USD","Period=FQ","BEST_FPERIOD_OVERRIDE=FQ","FILING_STATUS=OR","SCALING_FORMAT=MLN","Sort=A","Dates=H","DateFormat=P","Fill=—","Direction=H","UseDPDF=Y")</f>
        <v>70</v>
      </c>
      <c r="AO57" s="13">
        <f>_xll.BDH("AMZN US Equity","IS_DEPR_EXP","FQ3 2008","FQ3 2008","Currency=USD","Period=FQ","BEST_FPERIOD_OVERRIDE=FQ","FILING_STATUS=OR","SCALING_FORMAT=MLN","Sort=A","Dates=H","DateFormat=P","Fill=—","Direction=H","UseDPDF=Y")</f>
        <v>76</v>
      </c>
      <c r="AP57" s="13">
        <f>_xll.BDH("AMZN US Equity","IS_DEPR_EXP","FQ4 2008","FQ4 2008","Currency=USD","Period=FQ","BEST_FPERIOD_OVERRIDE=FQ","FILING_STATUS=OR","SCALING_FORMAT=MLN","Sort=A","Dates=H","DateFormat=P","Fill=—","Direction=H","UseDPDF=Y")</f>
        <v>86</v>
      </c>
    </row>
    <row r="58" spans="1:42" x14ac:dyDescent="0.25">
      <c r="A58" s="10" t="s">
        <v>175</v>
      </c>
      <c r="B58" s="10" t="s">
        <v>176</v>
      </c>
      <c r="C58" s="13" t="str">
        <f>_xll.BDH("AMZN US Equity","BS_CURR_RENTAL_EXPENSE","FQ4 1998","FQ4 1998","Currency=USD","Period=FQ","BEST_FPERIOD_OVERRIDE=FQ","FILING_STATUS=OR","SCALING_FORMAT=MLN","Sort=A","Dates=H","DateFormat=P","Fill=—","Direction=H","UseDPDF=Y")</f>
        <v>—</v>
      </c>
      <c r="D58" s="13" t="str">
        <f>_xll.BDH("AMZN US Equity","BS_CURR_RENTAL_EXPENSE","FQ1 1999","FQ1 1999","Currency=USD","Period=FQ","BEST_FPERIOD_OVERRIDE=FQ","FILING_STATUS=OR","SCALING_FORMAT=MLN","Sort=A","Dates=H","DateFormat=P","Fill=—","Direction=H","UseDPDF=Y")</f>
        <v>—</v>
      </c>
      <c r="E58" s="13" t="str">
        <f>_xll.BDH("AMZN US Equity","BS_CURR_RENTAL_EXPENSE","FQ2 1999","FQ2 1999","Currency=USD","Period=FQ","BEST_FPERIOD_OVERRIDE=FQ","FILING_STATUS=OR","SCALING_FORMAT=MLN","Sort=A","Dates=H","DateFormat=P","Fill=—","Direction=H","UseDPDF=Y")</f>
        <v>—</v>
      </c>
      <c r="F58" s="13" t="str">
        <f>_xll.BDH("AMZN US Equity","BS_CURR_RENTAL_EXPENSE","FQ3 1999","FQ3 1999","Currency=USD","Period=FQ","BEST_FPERIOD_OVERRIDE=FQ","FILING_STATUS=OR","SCALING_FORMAT=MLN","Sort=A","Dates=H","DateFormat=P","Fill=—","Direction=H","UseDPDF=Y")</f>
        <v>—</v>
      </c>
      <c r="G58" s="13" t="str">
        <f>_xll.BDH("AMZN US Equity","BS_CURR_RENTAL_EXPENSE","FQ4 1999","FQ4 1999","Currency=USD","Period=FQ","BEST_FPERIOD_OVERRIDE=FQ","FILING_STATUS=OR","SCALING_FORMAT=MLN","Sort=A","Dates=H","DateFormat=P","Fill=—","Direction=H","UseDPDF=Y")</f>
        <v>—</v>
      </c>
      <c r="H58" s="13" t="str">
        <f>_xll.BDH("AMZN US Equity","BS_CURR_RENTAL_EXPENSE","FQ1 2000","FQ1 2000","Currency=USD","Period=FQ","BEST_FPERIOD_OVERRIDE=FQ","FILING_STATUS=OR","SCALING_FORMAT=MLN","Sort=A","Dates=H","DateFormat=P","Fill=—","Direction=H","UseDPDF=Y")</f>
        <v>—</v>
      </c>
      <c r="I58" s="13" t="str">
        <f>_xll.BDH("AMZN US Equity","BS_CURR_RENTAL_EXPENSE","FQ3 2000","FQ3 2000","Currency=USD","Period=FQ","BEST_FPERIOD_OVERRIDE=FQ","FILING_STATUS=OR","SCALING_FORMAT=MLN","Sort=A","Dates=H","DateFormat=P","Fill=—","Direction=H","UseDPDF=Y")</f>
        <v>—</v>
      </c>
      <c r="J58" s="13" t="str">
        <f>_xll.BDH("AMZN US Equity","BS_CURR_RENTAL_EXPENSE","FQ4 2000","FQ4 2000","Currency=USD","Period=FQ","BEST_FPERIOD_OVERRIDE=FQ","FILING_STATUS=OR","SCALING_FORMAT=MLN","Sort=A","Dates=H","DateFormat=P","Fill=—","Direction=H","UseDPDF=Y")</f>
        <v>—</v>
      </c>
      <c r="K58" s="13" t="str">
        <f>_xll.BDH("AMZN US Equity","BS_CURR_RENTAL_EXPENSE","FQ1 2001","FQ1 2001","Currency=USD","Period=FQ","BEST_FPERIOD_OVERRIDE=FQ","FILING_STATUS=OR","SCALING_FORMAT=MLN","Sort=A","Dates=H","DateFormat=P","Fill=—","Direction=H","UseDPDF=Y")</f>
        <v>—</v>
      </c>
      <c r="L58" s="13" t="str">
        <f>_xll.BDH("AMZN US Equity","BS_CURR_RENTAL_EXPENSE","FQ2 2001","FQ2 2001","Currency=USD","Period=FQ","BEST_FPERIOD_OVERRIDE=FQ","FILING_STATUS=OR","SCALING_FORMAT=MLN","Sort=A","Dates=H","DateFormat=P","Fill=—","Direction=H","UseDPDF=Y")</f>
        <v>—</v>
      </c>
      <c r="M58" s="13" t="str">
        <f>_xll.BDH("AMZN US Equity","BS_CURR_RENTAL_EXPENSE","FQ3 2001","FQ3 2001","Currency=USD","Period=FQ","BEST_FPERIOD_OVERRIDE=FQ","FILING_STATUS=OR","SCALING_FORMAT=MLN","Sort=A","Dates=H","DateFormat=P","Fill=—","Direction=H","UseDPDF=Y")</f>
        <v>—</v>
      </c>
      <c r="N58" s="13" t="str">
        <f>_xll.BDH("AMZN US Equity","BS_CURR_RENTAL_EXPENSE","FQ4 2001","FQ4 2001","Currency=USD","Period=FQ","BEST_FPERIOD_OVERRIDE=FQ","FILING_STATUS=OR","SCALING_FORMAT=MLN","Sort=A","Dates=H","DateFormat=P","Fill=—","Direction=H","UseDPDF=Y")</f>
        <v>—</v>
      </c>
      <c r="O58" s="13" t="str">
        <f>_xll.BDH("AMZN US Equity","BS_CURR_RENTAL_EXPENSE","FQ1 2002","FQ1 2002","Currency=USD","Period=FQ","BEST_FPERIOD_OVERRIDE=FQ","FILING_STATUS=OR","SCALING_FORMAT=MLN","Sort=A","Dates=H","DateFormat=P","Fill=—","Direction=H","UseDPDF=Y")</f>
        <v>—</v>
      </c>
      <c r="P58" s="13" t="str">
        <f>_xll.BDH("AMZN US Equity","BS_CURR_RENTAL_EXPENSE","FQ2 2002","FQ2 2002","Currency=USD","Period=FQ","BEST_FPERIOD_OVERRIDE=FQ","FILING_STATUS=OR","SCALING_FORMAT=MLN","Sort=A","Dates=H","DateFormat=P","Fill=—","Direction=H","UseDPDF=Y")</f>
        <v>—</v>
      </c>
      <c r="Q58" s="13" t="str">
        <f>_xll.BDH("AMZN US Equity","BS_CURR_RENTAL_EXPENSE","FQ3 2002","FQ3 2002","Currency=USD","Period=FQ","BEST_FPERIOD_OVERRIDE=FQ","FILING_STATUS=OR","SCALING_FORMAT=MLN","Sort=A","Dates=H","DateFormat=P","Fill=—","Direction=H","UseDPDF=Y")</f>
        <v>—</v>
      </c>
      <c r="R58" s="13" t="str">
        <f>_xll.BDH("AMZN US Equity","BS_CURR_RENTAL_EXPENSE","FQ4 2002","FQ4 2002","Currency=USD","Period=FQ","BEST_FPERIOD_OVERRIDE=FQ","FILING_STATUS=OR","SCALING_FORMAT=MLN","Sort=A","Dates=H","DateFormat=P","Fill=—","Direction=H","UseDPDF=Y")</f>
        <v>—</v>
      </c>
      <c r="S58" s="13" t="str">
        <f>_xll.BDH("AMZN US Equity","BS_CURR_RENTAL_EXPENSE","FQ1 2003","FQ1 2003","Currency=USD","Period=FQ","BEST_FPERIOD_OVERRIDE=FQ","FILING_STATUS=OR","SCALING_FORMAT=MLN","Sort=A","Dates=H","DateFormat=P","Fill=—","Direction=H","UseDPDF=Y")</f>
        <v>—</v>
      </c>
      <c r="T58" s="13" t="str">
        <f>_xll.BDH("AMZN US Equity","BS_CURR_RENTAL_EXPENSE","FQ2 2003","FQ2 2003","Currency=USD","Period=FQ","BEST_FPERIOD_OVERRIDE=FQ","FILING_STATUS=OR","SCALING_FORMAT=MLN","Sort=A","Dates=H","DateFormat=P","Fill=—","Direction=H","UseDPDF=Y")</f>
        <v>—</v>
      </c>
      <c r="U58" s="13" t="str">
        <f>_xll.BDH("AMZN US Equity","BS_CURR_RENTAL_EXPENSE","FQ3 2003","FQ3 2003","Currency=USD","Period=FQ","BEST_FPERIOD_OVERRIDE=FQ","FILING_STATUS=OR","SCALING_FORMAT=MLN","Sort=A","Dates=H","DateFormat=P","Fill=—","Direction=H","UseDPDF=Y")</f>
        <v>—</v>
      </c>
      <c r="V58" s="13" t="str">
        <f>_xll.BDH("AMZN US Equity","BS_CURR_RENTAL_EXPENSE","FQ4 2003","FQ4 2003","Currency=USD","Period=FQ","BEST_FPERIOD_OVERRIDE=FQ","FILING_STATUS=OR","SCALING_FORMAT=MLN","Sort=A","Dates=H","DateFormat=P","Fill=—","Direction=H","UseDPDF=Y")</f>
        <v>—</v>
      </c>
      <c r="W58" s="13" t="str">
        <f>_xll.BDH("AMZN US Equity","BS_CURR_RENTAL_EXPENSE","FQ1 2004","FQ1 2004","Currency=USD","Period=FQ","BEST_FPERIOD_OVERRIDE=FQ","FILING_STATUS=OR","SCALING_FORMAT=MLN","Sort=A","Dates=H","DateFormat=P","Fill=—","Direction=H","UseDPDF=Y")</f>
        <v>—</v>
      </c>
      <c r="X58" s="13" t="str">
        <f>_xll.BDH("AMZN US Equity","BS_CURR_RENTAL_EXPENSE","FQ2 2004","FQ2 2004","Currency=USD","Period=FQ","BEST_FPERIOD_OVERRIDE=FQ","FILING_STATUS=OR","SCALING_FORMAT=MLN","Sort=A","Dates=H","DateFormat=P","Fill=—","Direction=H","UseDPDF=Y")</f>
        <v>—</v>
      </c>
      <c r="Y58" s="13" t="str">
        <f>_xll.BDH("AMZN US Equity","BS_CURR_RENTAL_EXPENSE","FQ3 2004","FQ3 2004","Currency=USD","Period=FQ","BEST_FPERIOD_OVERRIDE=FQ","FILING_STATUS=OR","SCALING_FORMAT=MLN","Sort=A","Dates=H","DateFormat=P","Fill=—","Direction=H","UseDPDF=Y")</f>
        <v>—</v>
      </c>
      <c r="Z58" s="13" t="str">
        <f>_xll.BDH("AMZN US Equity","BS_CURR_RENTAL_EXPENSE","FQ4 2004","FQ4 2004","Currency=USD","Period=FQ","BEST_FPERIOD_OVERRIDE=FQ","FILING_STATUS=OR","SCALING_FORMAT=MLN","Sort=A","Dates=H","DateFormat=P","Fill=—","Direction=H","UseDPDF=Y")</f>
        <v>—</v>
      </c>
      <c r="AA58" s="13">
        <f>_xll.BDH("AMZN US Equity","BS_CURR_RENTAL_EXPENSE","FQ1 2005","FQ1 2005","Currency=USD","Period=FQ","BEST_FPERIOD_OVERRIDE=FQ","FILING_STATUS=OR","SCALING_FORMAT=MLN","Sort=A","Dates=H","DateFormat=P","Fill=—","Direction=H","UseDPDF=Y")</f>
        <v>15</v>
      </c>
      <c r="AB58" s="13">
        <f>_xll.BDH("AMZN US Equity","BS_CURR_RENTAL_EXPENSE","FQ2 2005","FQ2 2005","Currency=USD","Period=FQ","BEST_FPERIOD_OVERRIDE=FQ","FILING_STATUS=OR","SCALING_FORMAT=MLN","Sort=A","Dates=H","DateFormat=P","Fill=—","Direction=H","UseDPDF=Y")</f>
        <v>17</v>
      </c>
      <c r="AC58" s="13">
        <f>_xll.BDH("AMZN US Equity","BS_CURR_RENTAL_EXPENSE","FQ3 2005","FQ3 2005","Currency=USD","Period=FQ","BEST_FPERIOD_OVERRIDE=FQ","FILING_STATUS=OR","SCALING_FORMAT=MLN","Sort=A","Dates=H","DateFormat=P","Fill=—","Direction=H","UseDPDF=Y")</f>
        <v>20</v>
      </c>
      <c r="AD58" s="13">
        <f>_xll.BDH("AMZN US Equity","BS_CURR_RENTAL_EXPENSE","FQ4 2005","FQ4 2005","Currency=USD","Period=FQ","BEST_FPERIOD_OVERRIDE=FQ","FILING_STATUS=OR","SCALING_FORMAT=MLN","Sort=A","Dates=H","DateFormat=P","Fill=—","Direction=H","UseDPDF=Y")</f>
        <v>84</v>
      </c>
      <c r="AE58" s="13">
        <f>_xll.BDH("AMZN US Equity","BS_CURR_RENTAL_EXPENSE","FQ1 2006","FQ1 2006","Currency=USD","Period=FQ","BEST_FPERIOD_OVERRIDE=FQ","FILING_STATUS=OR","SCALING_FORMAT=MLN","Sort=A","Dates=H","DateFormat=P","Fill=—","Direction=H","UseDPDF=Y")</f>
        <v>39</v>
      </c>
      <c r="AF58" s="13">
        <f>_xll.BDH("AMZN US Equity","BS_CURR_RENTAL_EXPENSE","FQ2 2006","FQ2 2006","Currency=USD","Period=FQ","BEST_FPERIOD_OVERRIDE=FQ","FILING_STATUS=OR","SCALING_FORMAT=MLN","Sort=A","Dates=H","DateFormat=P","Fill=—","Direction=H","UseDPDF=Y")</f>
        <v>39</v>
      </c>
      <c r="AG58" s="13">
        <f>_xll.BDH("AMZN US Equity","BS_CURR_RENTAL_EXPENSE","FQ3 2006","FQ3 2006","Currency=USD","Period=FQ","BEST_FPERIOD_OVERRIDE=FQ","FILING_STATUS=OR","SCALING_FORMAT=MLN","Sort=A","Dates=H","DateFormat=P","Fill=—","Direction=H","UseDPDF=Y")</f>
        <v>33</v>
      </c>
      <c r="AH58" s="13">
        <f>_xll.BDH("AMZN US Equity","BS_CURR_RENTAL_EXPENSE","FQ4 2006","FQ4 2006","Currency=USD","Period=FQ","BEST_FPERIOD_OVERRIDE=FQ","FILING_STATUS=OR","SCALING_FORMAT=MLN","Sort=A","Dates=H","DateFormat=P","Fill=—","Direction=H","UseDPDF=Y")</f>
        <v>21</v>
      </c>
      <c r="AI58" s="13">
        <f>_xll.BDH("AMZN US Equity","BS_CURR_RENTAL_EXPENSE","FQ1 2007","FQ1 2007","Currency=USD","Period=FQ","BEST_FPERIOD_OVERRIDE=FQ","FILING_STATUS=OR","SCALING_FORMAT=MLN","Sort=A","Dates=H","DateFormat=P","Fill=—","Direction=H","UseDPDF=Y")</f>
        <v>34</v>
      </c>
      <c r="AJ58" s="13">
        <f>_xll.BDH("AMZN US Equity","BS_CURR_RENTAL_EXPENSE","FQ2 2007","FQ2 2007","Currency=USD","Period=FQ","BEST_FPERIOD_OVERRIDE=FQ","FILING_STATUS=OR","SCALING_FORMAT=MLN","Sort=A","Dates=H","DateFormat=P","Fill=—","Direction=H","UseDPDF=Y")</f>
        <v>33</v>
      </c>
      <c r="AK58" s="13">
        <f>_xll.BDH("AMZN US Equity","BS_CURR_RENTAL_EXPENSE","FQ3 2007","FQ3 2007","Currency=USD","Period=FQ","BEST_FPERIOD_OVERRIDE=FQ","FILING_STATUS=OR","SCALING_FORMAT=MLN","Sort=A","Dates=H","DateFormat=P","Fill=—","Direction=H","UseDPDF=Y")</f>
        <v>35</v>
      </c>
      <c r="AL58" s="13">
        <f>_xll.BDH("AMZN US Equity","BS_CURR_RENTAL_EXPENSE","FQ4 2007","FQ4 2007","Currency=USD","Period=FQ","BEST_FPERIOD_OVERRIDE=FQ","FILING_STATUS=OR","SCALING_FORMAT=MLN","Sort=A","Dates=H","DateFormat=P","Fill=—","Direction=H","UseDPDF=Y")</f>
        <v>39</v>
      </c>
      <c r="AM58" s="13">
        <f>_xll.BDH("AMZN US Equity","BS_CURR_RENTAL_EXPENSE","FQ1 2008","FQ1 2008","Currency=USD","Period=FQ","BEST_FPERIOD_OVERRIDE=FQ","FILING_STATUS=OR","SCALING_FORMAT=MLN","Sort=A","Dates=H","DateFormat=P","Fill=—","Direction=H","UseDPDF=Y")</f>
        <v>39</v>
      </c>
      <c r="AN58" s="13">
        <f>_xll.BDH("AMZN US Equity","BS_CURR_RENTAL_EXPENSE","FQ2 2008","FQ2 2008","Currency=USD","Period=FQ","BEST_FPERIOD_OVERRIDE=FQ","FILING_STATUS=OR","SCALING_FORMAT=MLN","Sort=A","Dates=H","DateFormat=P","Fill=—","Direction=H","UseDPDF=Y")</f>
        <v>41</v>
      </c>
      <c r="AO58" s="13">
        <f>_xll.BDH("AMZN US Equity","BS_CURR_RENTAL_EXPENSE","FQ3 2008","FQ3 2008","Currency=USD","Period=FQ","BEST_FPERIOD_OVERRIDE=FQ","FILING_STATUS=OR","SCALING_FORMAT=MLN","Sort=A","Dates=H","DateFormat=P","Fill=—","Direction=H","UseDPDF=Y")</f>
        <v>38</v>
      </c>
      <c r="AP58" s="13">
        <f>_xll.BDH("AMZN US Equity","BS_CURR_RENTAL_EXPENSE","FQ4 2008","FQ4 2008","Currency=USD","Period=FQ","BEST_FPERIOD_OVERRIDE=FQ","FILING_STATUS=OR","SCALING_FORMAT=MLN","Sort=A","Dates=H","DateFormat=P","Fill=—","Direction=H","UseDPDF=Y")</f>
        <v>40</v>
      </c>
    </row>
    <row r="59" spans="1:42" x14ac:dyDescent="0.25">
      <c r="A59" s="7" t="s">
        <v>177</v>
      </c>
      <c r="B59" s="7"/>
      <c r="C59" s="7" t="s">
        <v>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178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179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180</v>
      </c>
      <c r="B7" s="10" t="s">
        <v>181</v>
      </c>
      <c r="C7" s="13">
        <f>_xll.BDH("AMZN US Equity","C&amp;CE_AND_STI_DETAILED","FQ4 1998","FQ4 1998","Currency=USD","Period=FQ","BEST_FPERIOD_OVERRIDE=FQ","FILING_STATUS=OR","SCALING_FORMAT=MLN","Sort=A","Dates=H","DateFormat=P","Fill=—","Direction=H","UseDPDF=Y")</f>
        <v>373.44499999999999</v>
      </c>
      <c r="D7" s="13">
        <f>_xll.BDH("AMZN US Equity","C&amp;CE_AND_STI_DETAILED","FQ1 1999","FQ1 1999","Currency=USD","Period=FQ","BEST_FPERIOD_OVERRIDE=FQ","FILING_STATUS=OR","SCALING_FORMAT=MLN","Sort=A","Dates=H","DateFormat=P","Fill=—","Direction=H","UseDPDF=Y")</f>
        <v>1442.9649999999999</v>
      </c>
      <c r="E7" s="13">
        <f>_xll.BDH("AMZN US Equity","C&amp;CE_AND_STI_DETAILED","FQ2 1999","FQ2 1999","Currency=USD","Period=FQ","BEST_FPERIOD_OVERRIDE=FQ","FILING_STATUS=OR","SCALING_FORMAT=MLN","Sort=A","Dates=H","DateFormat=P","Fill=—","Direction=H","UseDPDF=Y")</f>
        <v>1144.2370000000001</v>
      </c>
      <c r="F7" s="13">
        <f>_xll.BDH("AMZN US Equity","C&amp;CE_AND_STI_DETAILED","FQ3 1999","FQ3 1999","Currency=USD","Period=FQ","BEST_FPERIOD_OVERRIDE=FQ","FILING_STATUS=OR","SCALING_FORMAT=MLN","Sort=A","Dates=H","DateFormat=P","Fill=—","Direction=H","UseDPDF=Y")</f>
        <v>905.68499999999995</v>
      </c>
      <c r="G7" s="13">
        <f>_xll.BDH("AMZN US Equity","C&amp;CE_AND_STI_DETAILED","FQ4 1999","FQ4 1999","Currency=USD","Period=FQ","BEST_FPERIOD_OVERRIDE=FQ","FILING_STATUS=OR","SCALING_FORMAT=MLN","Sort=A","Dates=H","DateFormat=P","Fill=—","Direction=H","UseDPDF=Y")</f>
        <v>706.18799999999999</v>
      </c>
      <c r="H7" s="13">
        <f>_xll.BDH("AMZN US Equity","C&amp;CE_AND_STI_DETAILED","FQ1 2000","FQ1 2000","Currency=USD","Period=FQ","BEST_FPERIOD_OVERRIDE=FQ","FILING_STATUS=OR","SCALING_FORMAT=MLN","Sort=A","Dates=H","DateFormat=P","Fill=—","Direction=H","UseDPDF=Y")</f>
        <v>1008.881</v>
      </c>
      <c r="I7" s="13">
        <f>_xll.BDH("AMZN US Equity","C&amp;CE_AND_STI_DETAILED","FQ3 2000","FQ3 2000","Currency=USD","Period=FQ","BEST_FPERIOD_OVERRIDE=FQ","FILING_STATUS=OR","SCALING_FORMAT=MLN","Sort=A","Dates=H","DateFormat=P","Fill=—","Direction=H","UseDPDF=Y")</f>
        <v>900.024</v>
      </c>
      <c r="J7" s="13">
        <f>_xll.BDH("AMZN US Equity","C&amp;CE_AND_STI_DETAILED","FQ4 2000","FQ4 2000","Currency=USD","Period=FQ","BEST_FPERIOD_OVERRIDE=FQ","FILING_STATUS=OR","SCALING_FORMAT=MLN","Sort=A","Dates=H","DateFormat=P","Fill=—","Direction=H","UseDPDF=Y")</f>
        <v>1100.5219999999999</v>
      </c>
      <c r="K7" s="13">
        <f>_xll.BDH("AMZN US Equity","C&amp;CE_AND_STI_DETAILED","FQ1 2001","FQ1 2001","Currency=USD","Period=FQ","BEST_FPERIOD_OVERRIDE=FQ","FILING_STATUS=OR","SCALING_FORMAT=MLN","Sort=A","Dates=H","DateFormat=P","Fill=—","Direction=H","UseDPDF=Y")</f>
        <v>642.97299999999996</v>
      </c>
      <c r="L7" s="13">
        <f>_xll.BDH("AMZN US Equity","C&amp;CE_AND_STI_DETAILED","FQ2 2001","FQ2 2001","Currency=USD","Period=FQ","BEST_FPERIOD_OVERRIDE=FQ","FILING_STATUS=OR","SCALING_FORMAT=MLN","Sort=A","Dates=H","DateFormat=P","Fill=—","Direction=H","UseDPDF=Y")</f>
        <v>608.96900000000005</v>
      </c>
      <c r="M7" s="13">
        <f>_xll.BDH("AMZN US Equity","C&amp;CE_AND_STI_DETAILED","FQ3 2001","FQ3 2001","Currency=USD","Period=FQ","BEST_FPERIOD_OVERRIDE=FQ","FILING_STATUS=OR","SCALING_FORMAT=MLN","Sort=A","Dates=H","DateFormat=P","Fill=—","Direction=H","UseDPDF=Y")</f>
        <v>668.1</v>
      </c>
      <c r="N7" s="13">
        <f>_xll.BDH("AMZN US Equity","C&amp;CE_AND_STI_DETAILED","FQ4 2001","FQ4 2001","Currency=USD","Period=FQ","BEST_FPERIOD_OVERRIDE=FQ","FILING_STATUS=OR","SCALING_FORMAT=MLN","Sort=A","Dates=H","DateFormat=P","Fill=—","Direction=H","UseDPDF=Y")</f>
        <v>996.58500000000004</v>
      </c>
      <c r="O7" s="13">
        <f>_xll.BDH("AMZN US Equity","C&amp;CE_AND_STI_DETAILED","FQ1 2002","FQ1 2002","Currency=USD","Period=FQ","BEST_FPERIOD_OVERRIDE=FQ","FILING_STATUS=OR","SCALING_FORMAT=MLN","Sort=A","Dates=H","DateFormat=P","Fill=—","Direction=H","UseDPDF=Y")</f>
        <v>745.25800000000004</v>
      </c>
      <c r="P7" s="13">
        <f>_xll.BDH("AMZN US Equity","C&amp;CE_AND_STI_DETAILED","FQ2 2002","FQ2 2002","Currency=USD","Period=FQ","BEST_FPERIOD_OVERRIDE=FQ","FILING_STATUS=OR","SCALING_FORMAT=MLN","Sort=A","Dates=H","DateFormat=P","Fill=—","Direction=H","UseDPDF=Y")</f>
        <v>823.57899999999995</v>
      </c>
      <c r="Q7" s="13">
        <f>_xll.BDH("AMZN US Equity","C&amp;CE_AND_STI_DETAILED","FQ3 2002","FQ3 2002","Currency=USD","Period=FQ","BEST_FPERIOD_OVERRIDE=FQ","FILING_STATUS=OR","SCALING_FORMAT=MLN","Sort=A","Dates=H","DateFormat=P","Fill=—","Direction=H","UseDPDF=Y")</f>
        <v>865.80200000000002</v>
      </c>
      <c r="R7" s="13">
        <f>_xll.BDH("AMZN US Equity","C&amp;CE_AND_STI_DETAILED","FQ4 2002","FQ4 2002","Currency=USD","Period=FQ","BEST_FPERIOD_OVERRIDE=FQ","FILING_STATUS=OR","SCALING_FORMAT=MLN","Sort=A","Dates=H","DateFormat=P","Fill=—","Direction=H","UseDPDF=Y")</f>
        <v>1300.9691</v>
      </c>
      <c r="S7" s="13">
        <f>_xll.BDH("AMZN US Equity","C&amp;CE_AND_STI_DETAILED","FQ1 2003","FQ1 2003","Currency=USD","Period=FQ","BEST_FPERIOD_OVERRIDE=FQ","FILING_STATUS=OR","SCALING_FORMAT=MLN","Sort=A","Dates=H","DateFormat=P","Fill=—","Direction=H","UseDPDF=Y")</f>
        <v>1082.5519999999999</v>
      </c>
      <c r="T7" s="13">
        <f>_xll.BDH("AMZN US Equity","C&amp;CE_AND_STI_DETAILED","FQ2 2003","FQ2 2003","Currency=USD","Period=FQ","BEST_FPERIOD_OVERRIDE=FQ","FILING_STATUS=OR","SCALING_FORMAT=MLN","Sort=A","Dates=H","DateFormat=P","Fill=—","Direction=H","UseDPDF=Y")</f>
        <v>988.77200000000005</v>
      </c>
      <c r="U7" s="13">
        <f>_xll.BDH("AMZN US Equity","C&amp;CE_AND_STI_DETAILED","FQ3 2003","FQ3 2003","Currency=USD","Period=FQ","BEST_FPERIOD_OVERRIDE=FQ","FILING_STATUS=OR","SCALING_FORMAT=MLN","Sort=A","Dates=H","DateFormat=P","Fill=—","Direction=H","UseDPDF=Y")</f>
        <v>1064.6600000000001</v>
      </c>
      <c r="V7" s="13">
        <f>_xll.BDH("AMZN US Equity","C&amp;CE_AND_STI_DETAILED","FQ4 2003","FQ4 2003","Currency=USD","Period=FQ","BEST_FPERIOD_OVERRIDE=FQ","FILING_STATUS=OR","SCALING_FORMAT=MLN","Sort=A","Dates=H","DateFormat=P","Fill=—","Direction=H","UseDPDF=Y")</f>
        <v>1394.8228999999999</v>
      </c>
      <c r="W7" s="13">
        <f>_xll.BDH("AMZN US Equity","C&amp;CE_AND_STI_DETAILED","FQ1 2004","FQ1 2004","Currency=USD","Period=FQ","BEST_FPERIOD_OVERRIDE=FQ","FILING_STATUS=OR","SCALING_FORMAT=MLN","Sort=A","Dates=H","DateFormat=P","Fill=—","Direction=H","UseDPDF=Y")</f>
        <v>998.14099999999996</v>
      </c>
      <c r="X7" s="13">
        <f>_xll.BDH("AMZN US Equity","C&amp;CE_AND_STI_DETAILED","FQ2 2004","FQ2 2004","Currency=USD","Period=FQ","BEST_FPERIOD_OVERRIDE=FQ","FILING_STATUS=OR","SCALING_FORMAT=MLN","Sort=A","Dates=H","DateFormat=P","Fill=—","Direction=H","UseDPDF=Y")</f>
        <v>1151.3510000000001</v>
      </c>
      <c r="Y7" s="13">
        <f>_xll.BDH("AMZN US Equity","C&amp;CE_AND_STI_DETAILED","FQ3 2004","FQ3 2004","Currency=USD","Period=FQ","BEST_FPERIOD_OVERRIDE=FQ","FILING_STATUS=OR","SCALING_FORMAT=MLN","Sort=A","Dates=H","DateFormat=P","Fill=—","Direction=H","UseDPDF=Y")</f>
        <v>1184.7</v>
      </c>
      <c r="Z7" s="13">
        <f>_xll.BDH("AMZN US Equity","C&amp;CE_AND_STI_DETAILED","FQ4 2004","FQ4 2004","Currency=USD","Period=FQ","BEST_FPERIOD_OVERRIDE=FQ","FILING_STATUS=OR","SCALING_FORMAT=MLN","Sort=A","Dates=H","DateFormat=P","Fill=—","Direction=H","UseDPDF=Y")</f>
        <v>1779.1990000000001</v>
      </c>
      <c r="AA7" s="13">
        <f>_xll.BDH("AMZN US Equity","C&amp;CE_AND_STI_DETAILED","FQ1 2005","FQ1 2005","Currency=USD","Period=FQ","BEST_FPERIOD_OVERRIDE=FQ","FILING_STATUS=OR","SCALING_FORMAT=MLN","Sort=A","Dates=H","DateFormat=P","Fill=—","Direction=H","UseDPDF=Y")</f>
        <v>1151</v>
      </c>
      <c r="AB7" s="13">
        <f>_xll.BDH("AMZN US Equity","C&amp;CE_AND_STI_DETAILED","FQ2 2005","FQ2 2005","Currency=USD","Period=FQ","BEST_FPERIOD_OVERRIDE=FQ","FILING_STATUS=OR","SCALING_FORMAT=MLN","Sort=A","Dates=H","DateFormat=P","Fill=—","Direction=H","UseDPDF=Y")</f>
        <v>1325</v>
      </c>
      <c r="AC7" s="13">
        <f>_xll.BDH("AMZN US Equity","C&amp;CE_AND_STI_DETAILED","FQ3 2005","FQ3 2005","Currency=USD","Period=FQ","BEST_FPERIOD_OVERRIDE=FQ","FILING_STATUS=OR","SCALING_FORMAT=MLN","Sort=A","Dates=H","DateFormat=P","Fill=—","Direction=H","UseDPDF=Y")</f>
        <v>1419</v>
      </c>
      <c r="AD7" s="13">
        <f>_xll.BDH("AMZN US Equity","C&amp;CE_AND_STI_DETAILED","FQ4 2005","FQ4 2005","Currency=USD","Period=FQ","BEST_FPERIOD_OVERRIDE=FQ","FILING_STATUS=OR","SCALING_FORMAT=MLN","Sort=A","Dates=H","DateFormat=P","Fill=—","Direction=H","UseDPDF=Y")</f>
        <v>2000</v>
      </c>
      <c r="AE7" s="13">
        <f>_xll.BDH("AMZN US Equity","C&amp;CE_AND_STI_DETAILED","FQ1 2006","FQ1 2006","Currency=USD","Period=FQ","BEST_FPERIOD_OVERRIDE=FQ","FILING_STATUS=OR","SCALING_FORMAT=MLN","Sort=A","Dates=H","DateFormat=P","Fill=—","Direction=H","UseDPDF=Y")</f>
        <v>1334</v>
      </c>
      <c r="AF7" s="13">
        <f>_xll.BDH("AMZN US Equity","C&amp;CE_AND_STI_DETAILED","FQ2 2006","FQ2 2006","Currency=USD","Period=FQ","BEST_FPERIOD_OVERRIDE=FQ","FILING_STATUS=OR","SCALING_FORMAT=MLN","Sort=A","Dates=H","DateFormat=P","Fill=—","Direction=H","UseDPDF=Y")</f>
        <v>1419</v>
      </c>
      <c r="AG7" s="13">
        <f>_xll.BDH("AMZN US Equity","C&amp;CE_AND_STI_DETAILED","FQ3 2006","FQ3 2006","Currency=USD","Period=FQ","BEST_FPERIOD_OVERRIDE=FQ","FILING_STATUS=OR","SCALING_FORMAT=MLN","Sort=A","Dates=H","DateFormat=P","Fill=—","Direction=H","UseDPDF=Y")</f>
        <v>1219</v>
      </c>
      <c r="AH7" s="13">
        <f>_xll.BDH("AMZN US Equity","C&amp;CE_AND_STI_DETAILED","FQ4 2006","FQ4 2006","Currency=USD","Period=FQ","BEST_FPERIOD_OVERRIDE=FQ","FILING_STATUS=OR","SCALING_FORMAT=MLN","Sort=A","Dates=H","DateFormat=P","Fill=—","Direction=H","UseDPDF=Y")</f>
        <v>2019</v>
      </c>
      <c r="AI7" s="13">
        <f>_xll.BDH("AMZN US Equity","C&amp;CE_AND_STI_DETAILED","FQ1 2007","FQ1 2007","Currency=USD","Period=FQ","BEST_FPERIOD_OVERRIDE=FQ","FILING_STATUS=OR","SCALING_FORMAT=MLN","Sort=A","Dates=H","DateFormat=P","Fill=—","Direction=H","UseDPDF=Y")</f>
        <v>1420</v>
      </c>
      <c r="AJ7" s="13">
        <f>_xll.BDH("AMZN US Equity","C&amp;CE_AND_STI_DETAILED","FQ2 2007","FQ2 2007","Currency=USD","Period=FQ","BEST_FPERIOD_OVERRIDE=FQ","FILING_STATUS=OR","SCALING_FORMAT=MLN","Sort=A","Dates=H","DateFormat=P","Fill=—","Direction=H","UseDPDF=Y")</f>
        <v>1665</v>
      </c>
      <c r="AK7" s="13">
        <f>_xll.BDH("AMZN US Equity","C&amp;CE_AND_STI_DETAILED","FQ3 2007","FQ3 2007","Currency=USD","Period=FQ","BEST_FPERIOD_OVERRIDE=FQ","FILING_STATUS=OR","SCALING_FORMAT=MLN","Sort=A","Dates=H","DateFormat=P","Fill=—","Direction=H","UseDPDF=Y")</f>
        <v>1909</v>
      </c>
      <c r="AL7" s="13">
        <f>_xll.BDH("AMZN US Equity","C&amp;CE_AND_STI_DETAILED","FQ4 2007","FQ4 2007","Currency=USD","Period=FQ","BEST_FPERIOD_OVERRIDE=FQ","FILING_STATUS=OR","SCALING_FORMAT=MLN","Sort=A","Dates=H","DateFormat=P","Fill=—","Direction=H","UseDPDF=Y")</f>
        <v>3112</v>
      </c>
      <c r="AM7" s="13">
        <f>_xll.BDH("AMZN US Equity","C&amp;CE_AND_STI_DETAILED","FQ1 2008","FQ1 2008","Currency=USD","Period=FQ","BEST_FPERIOD_OVERRIDE=FQ","FILING_STATUS=OR","SCALING_FORMAT=MLN","Sort=A","Dates=H","DateFormat=P","Fill=—","Direction=H","UseDPDF=Y")</f>
        <v>2151</v>
      </c>
      <c r="AN7" s="13">
        <f>_xll.BDH("AMZN US Equity","C&amp;CE_AND_STI_DETAILED","FQ2 2008","FQ2 2008","Currency=USD","Period=FQ","BEST_FPERIOD_OVERRIDE=FQ","FILING_STATUS=OR","SCALING_FORMAT=MLN","Sort=A","Dates=H","DateFormat=P","Fill=—","Direction=H","UseDPDF=Y")</f>
        <v>2380</v>
      </c>
      <c r="AO7" s="13">
        <f>_xll.BDH("AMZN US Equity","C&amp;CE_AND_STI_DETAILED","FQ3 2008","FQ3 2008","Currency=USD","Period=FQ","BEST_FPERIOD_OVERRIDE=FQ","FILING_STATUS=OR","SCALING_FORMAT=MLN","Sort=A","Dates=H","DateFormat=P","Fill=—","Direction=H","UseDPDF=Y")</f>
        <v>2324</v>
      </c>
      <c r="AP7" s="13">
        <f>_xll.BDH("AMZN US Equity","C&amp;CE_AND_STI_DETAILED","FQ4 2008","FQ4 2008","Currency=USD","Period=FQ","BEST_FPERIOD_OVERRIDE=FQ","FILING_STATUS=OR","SCALING_FORMAT=MLN","Sort=A","Dates=H","DateFormat=P","Fill=—","Direction=H","UseDPDF=Y")</f>
        <v>3727</v>
      </c>
    </row>
    <row r="8" spans="1:42" x14ac:dyDescent="0.25">
      <c r="A8" s="10" t="s">
        <v>182</v>
      </c>
      <c r="B8" s="10" t="s">
        <v>183</v>
      </c>
      <c r="C8" s="13">
        <f>_xll.BDH("AMZN US Equity","BS_CASH_NEAR_CASH_ITEM","FQ4 1998","FQ4 1998","Currency=USD","Period=FQ","BEST_FPERIOD_OVERRIDE=FQ","FILING_STATUS=OR","SCALING_FORMAT=MLN","Sort=A","Dates=H","DateFormat=P","Fill=—","Direction=H","UseDPDF=Y")</f>
        <v>25.561</v>
      </c>
      <c r="D8" s="13">
        <f>_xll.BDH("AMZN US Equity","BS_CASH_NEAR_CASH_ITEM","FQ1 1999","FQ1 1999","Currency=USD","Period=FQ","BEST_FPERIOD_OVERRIDE=FQ","FILING_STATUS=OR","SCALING_FORMAT=MLN","Sort=A","Dates=H","DateFormat=P","Fill=—","Direction=H","UseDPDF=Y")</f>
        <v>5.2480000000000002</v>
      </c>
      <c r="E8" s="13">
        <f>_xll.BDH("AMZN US Equity","BS_CASH_NEAR_CASH_ITEM","FQ2 1999","FQ2 1999","Currency=USD","Period=FQ","BEST_FPERIOD_OVERRIDE=FQ","FILING_STATUS=OR","SCALING_FORMAT=MLN","Sort=A","Dates=H","DateFormat=P","Fill=—","Direction=H","UseDPDF=Y")</f>
        <v>42.539000000000001</v>
      </c>
      <c r="F8" s="13">
        <f>_xll.BDH("AMZN US Equity","BS_CASH_NEAR_CASH_ITEM","FQ3 1999","FQ3 1999","Currency=USD","Period=FQ","BEST_FPERIOD_OVERRIDE=FQ","FILING_STATUS=OR","SCALING_FORMAT=MLN","Sort=A","Dates=H","DateFormat=P","Fill=—","Direction=H","UseDPDF=Y")</f>
        <v>43.149000000000001</v>
      </c>
      <c r="G8" s="13">
        <f>_xll.BDH("AMZN US Equity","BS_CASH_NEAR_CASH_ITEM","FQ4 1999","FQ4 1999","Currency=USD","Period=FQ","BEST_FPERIOD_OVERRIDE=FQ","FILING_STATUS=OR","SCALING_FORMAT=MLN","Sort=A","Dates=H","DateFormat=P","Fill=—","Direction=H","UseDPDF=Y")</f>
        <v>116.962</v>
      </c>
      <c r="H8" s="13">
        <f>_xll.BDH("AMZN US Equity","BS_CASH_NEAR_CASH_ITEM","FQ1 2000","FQ1 2000","Currency=USD","Period=FQ","BEST_FPERIOD_OVERRIDE=FQ","FILING_STATUS=OR","SCALING_FORMAT=MLN","Sort=A","Dates=H","DateFormat=P","Fill=—","Direction=H","UseDPDF=Y")</f>
        <v>84.087000000000003</v>
      </c>
      <c r="I8" s="13">
        <f>_xll.BDH("AMZN US Equity","BS_CASH_NEAR_CASH_ITEM","FQ3 2000","FQ3 2000","Currency=USD","Period=FQ","BEST_FPERIOD_OVERRIDE=FQ","FILING_STATUS=OR","SCALING_FORMAT=MLN","Sort=A","Dates=H","DateFormat=P","Fill=—","Direction=H","UseDPDF=Y")</f>
        <v>647.048</v>
      </c>
      <c r="J8" s="13">
        <f>_xll.BDH("AMZN US Equity","BS_CASH_NEAR_CASH_ITEM","FQ4 2000","FQ4 2000","Currency=USD","Period=FQ","BEST_FPERIOD_OVERRIDE=FQ","FILING_STATUS=OR","SCALING_FORMAT=MLN","Sort=A","Dates=H","DateFormat=P","Fill=—","Direction=H","UseDPDF=Y")</f>
        <v>822.43499999999995</v>
      </c>
      <c r="K8" s="13">
        <f>_xll.BDH("AMZN US Equity","BS_CASH_NEAR_CASH_ITEM","FQ1 2001","FQ1 2001","Currency=USD","Period=FQ","BEST_FPERIOD_OVERRIDE=FQ","FILING_STATUS=OR","SCALING_FORMAT=MLN","Sort=A","Dates=H","DateFormat=P","Fill=—","Direction=H","UseDPDF=Y")</f>
        <v>446.94400000000002</v>
      </c>
      <c r="L8" s="13">
        <f>_xll.BDH("AMZN US Equity","BS_CASH_NEAR_CASH_ITEM","FQ2 2001","FQ2 2001","Currency=USD","Period=FQ","BEST_FPERIOD_OVERRIDE=FQ","FILING_STATUS=OR","SCALING_FORMAT=MLN","Sort=A","Dates=H","DateFormat=P","Fill=—","Direction=H","UseDPDF=Y")</f>
        <v>462.94900000000001</v>
      </c>
      <c r="M8" s="13">
        <f>_xll.BDH("AMZN US Equity","BS_CASH_NEAR_CASH_ITEM","FQ3 2001","FQ3 2001","Currency=USD","Period=FQ","BEST_FPERIOD_OVERRIDE=FQ","FILING_STATUS=OR","SCALING_FORMAT=MLN","Sort=A","Dates=H","DateFormat=P","Fill=—","Direction=H","UseDPDF=Y")</f>
        <v>432.30700000000002</v>
      </c>
      <c r="N8" s="13">
        <f>_xll.BDH("AMZN US Equity","BS_CASH_NEAR_CASH_ITEM","FQ4 2001","FQ4 2001","Currency=USD","Period=FQ","BEST_FPERIOD_OVERRIDE=FQ","FILING_STATUS=OR","SCALING_FORMAT=MLN","Sort=A","Dates=H","DateFormat=P","Fill=—","Direction=H","UseDPDF=Y")</f>
        <v>540.28200000000004</v>
      </c>
      <c r="O8" s="13">
        <f>_xll.BDH("AMZN US Equity","BS_CASH_NEAR_CASH_ITEM","FQ1 2002","FQ1 2002","Currency=USD","Period=FQ","BEST_FPERIOD_OVERRIDE=FQ","FILING_STATUS=OR","SCALING_FORMAT=MLN","Sort=A","Dates=H","DateFormat=P","Fill=—","Direction=H","UseDPDF=Y")</f>
        <v>296.68900000000002</v>
      </c>
      <c r="P8" s="13">
        <f>_xll.BDH("AMZN US Equity","BS_CASH_NEAR_CASH_ITEM","FQ2 2002","FQ2 2002","Currency=USD","Period=FQ","BEST_FPERIOD_OVERRIDE=FQ","FILING_STATUS=OR","SCALING_FORMAT=MLN","Sort=A","Dates=H","DateFormat=P","Fill=—","Direction=H","UseDPDF=Y")</f>
        <v>270.43799999999999</v>
      </c>
      <c r="Q8" s="13">
        <f>_xll.BDH("AMZN US Equity","BS_CASH_NEAR_CASH_ITEM","FQ3 2002","FQ3 2002","Currency=USD","Period=FQ","BEST_FPERIOD_OVERRIDE=FQ","FILING_STATUS=OR","SCALING_FORMAT=MLN","Sort=A","Dates=H","DateFormat=P","Fill=—","Direction=H","UseDPDF=Y")</f>
        <v>327.56400000000002</v>
      </c>
      <c r="R8" s="13">
        <f>_xll.BDH("AMZN US Equity","BS_CASH_NEAR_CASH_ITEM","FQ4 2002","FQ4 2002","Currency=USD","Period=FQ","BEST_FPERIOD_OVERRIDE=FQ","FILING_STATUS=OR","SCALING_FORMAT=MLN","Sort=A","Dates=H","DateFormat=P","Fill=—","Direction=H","UseDPDF=Y")</f>
        <v>738.25400000000002</v>
      </c>
      <c r="S8" s="13">
        <f>_xll.BDH("AMZN US Equity","BS_CASH_NEAR_CASH_ITEM","FQ1 2003","FQ1 2003","Currency=USD","Period=FQ","BEST_FPERIOD_OVERRIDE=FQ","FILING_STATUS=OR","SCALING_FORMAT=MLN","Sort=A","Dates=H","DateFormat=P","Fill=—","Direction=H","UseDPDF=Y")</f>
        <v>495.77300000000002</v>
      </c>
      <c r="T8" s="13">
        <f>_xll.BDH("AMZN US Equity","BS_CASH_NEAR_CASH_ITEM","FQ2 2003","FQ2 2003","Currency=USD","Period=FQ","BEST_FPERIOD_OVERRIDE=FQ","FILING_STATUS=OR","SCALING_FORMAT=MLN","Sort=A","Dates=H","DateFormat=P","Fill=—","Direction=H","UseDPDF=Y")</f>
        <v>641.72799999999995</v>
      </c>
      <c r="U8" s="13">
        <f>_xll.BDH("AMZN US Equity","BS_CASH_NEAR_CASH_ITEM","FQ3 2003","FQ3 2003","Currency=USD","Period=FQ","BEST_FPERIOD_OVERRIDE=FQ","FILING_STATUS=OR","SCALING_FORMAT=MLN","Sort=A","Dates=H","DateFormat=P","Fill=—","Direction=H","UseDPDF=Y")</f>
        <v>666.41800000000001</v>
      </c>
      <c r="V8" s="13">
        <f>_xll.BDH("AMZN US Equity","BS_CASH_NEAR_CASH_ITEM","FQ4 2003","FQ4 2003","Currency=USD","Period=FQ","BEST_FPERIOD_OVERRIDE=FQ","FILING_STATUS=OR","SCALING_FORMAT=MLN","Sort=A","Dates=H","DateFormat=P","Fill=—","Direction=H","UseDPDF=Y")</f>
        <v>1102.2728999999999</v>
      </c>
      <c r="W8" s="13">
        <f>_xll.BDH("AMZN US Equity","BS_CASH_NEAR_CASH_ITEM","FQ1 2004","FQ1 2004","Currency=USD","Period=FQ","BEST_FPERIOD_OVERRIDE=FQ","FILING_STATUS=OR","SCALING_FORMAT=MLN","Sort=A","Dates=H","DateFormat=P","Fill=—","Direction=H","UseDPDF=Y")</f>
        <v>768.58699999999999</v>
      </c>
      <c r="X8" s="13">
        <f>_xll.BDH("AMZN US Equity","BS_CASH_NEAR_CASH_ITEM","FQ2 2004","FQ2 2004","Currency=USD","Period=FQ","BEST_FPERIOD_OVERRIDE=FQ","FILING_STATUS=OR","SCALING_FORMAT=MLN","Sort=A","Dates=H","DateFormat=P","Fill=—","Direction=H","UseDPDF=Y")</f>
        <v>701.15</v>
      </c>
      <c r="Y8" s="13">
        <f>_xll.BDH("AMZN US Equity","BS_CASH_NEAR_CASH_ITEM","FQ3 2004","FQ3 2004","Currency=USD","Period=FQ","BEST_FPERIOD_OVERRIDE=FQ","FILING_STATUS=OR","SCALING_FORMAT=MLN","Sort=A","Dates=H","DateFormat=P","Fill=—","Direction=H","UseDPDF=Y")</f>
        <v>745.60799999999995</v>
      </c>
      <c r="Z8" s="13">
        <f>_xll.BDH("AMZN US Equity","BS_CASH_NEAR_CASH_ITEM","FQ4 2004","FQ4 2004","Currency=USD","Period=FQ","BEST_FPERIOD_OVERRIDE=FQ","FILING_STATUS=OR","SCALING_FORMAT=MLN","Sort=A","Dates=H","DateFormat=P","Fill=—","Direction=H","UseDPDF=Y")</f>
        <v>1302.5999999999999</v>
      </c>
      <c r="AA8" s="13">
        <f>_xll.BDH("AMZN US Equity","BS_CASH_NEAR_CASH_ITEM","FQ1 2005","FQ1 2005","Currency=USD","Period=FQ","BEST_FPERIOD_OVERRIDE=FQ","FILING_STATUS=OR","SCALING_FORMAT=MLN","Sort=A","Dates=H","DateFormat=P","Fill=—","Direction=H","UseDPDF=Y")</f>
        <v>533</v>
      </c>
      <c r="AB8" s="13">
        <f>_xll.BDH("AMZN US Equity","BS_CASH_NEAR_CASH_ITEM","FQ2 2005","FQ2 2005","Currency=USD","Period=FQ","BEST_FPERIOD_OVERRIDE=FQ","FILING_STATUS=OR","SCALING_FORMAT=MLN","Sort=A","Dates=H","DateFormat=P","Fill=—","Direction=H","UseDPDF=Y")</f>
        <v>629</v>
      </c>
      <c r="AC8" s="13">
        <f>_xll.BDH("AMZN US Equity","BS_CASH_NEAR_CASH_ITEM","FQ3 2005","FQ3 2005","Currency=USD","Period=FQ","BEST_FPERIOD_OVERRIDE=FQ","FILING_STATUS=OR","SCALING_FORMAT=MLN","Sort=A","Dates=H","DateFormat=P","Fill=—","Direction=H","UseDPDF=Y")</f>
        <v>600</v>
      </c>
      <c r="AD8" s="13">
        <f>_xll.BDH("AMZN US Equity","BS_CASH_NEAR_CASH_ITEM","FQ4 2005","FQ4 2005","Currency=USD","Period=FQ","BEST_FPERIOD_OVERRIDE=FQ","FILING_STATUS=OR","SCALING_FORMAT=MLN","Sort=A","Dates=H","DateFormat=P","Fill=—","Direction=H","UseDPDF=Y")</f>
        <v>1013</v>
      </c>
      <c r="AE8" s="13">
        <f>_xll.BDH("AMZN US Equity","BS_CASH_NEAR_CASH_ITEM","FQ1 2006","FQ1 2006","Currency=USD","Period=FQ","BEST_FPERIOD_OVERRIDE=FQ","FILING_STATUS=OR","SCALING_FORMAT=MLN","Sort=A","Dates=H","DateFormat=P","Fill=—","Direction=H","UseDPDF=Y")</f>
        <v>507</v>
      </c>
      <c r="AF8" s="13">
        <f>_xll.BDH("AMZN US Equity","BS_CASH_NEAR_CASH_ITEM","FQ2 2006","FQ2 2006","Currency=USD","Period=FQ","BEST_FPERIOD_OVERRIDE=FQ","FILING_STATUS=OR","SCALING_FORMAT=MLN","Sort=A","Dates=H","DateFormat=P","Fill=—","Direction=H","UseDPDF=Y")</f>
        <v>683</v>
      </c>
      <c r="AG8" s="13">
        <f>_xll.BDH("AMZN US Equity","BS_CASH_NEAR_CASH_ITEM","FQ3 2006","FQ3 2006","Currency=USD","Period=FQ","BEST_FPERIOD_OVERRIDE=FQ","FILING_STATUS=OR","SCALING_FORMAT=MLN","Sort=A","Dates=H","DateFormat=P","Fill=—","Direction=H","UseDPDF=Y")</f>
        <v>693</v>
      </c>
      <c r="AH8" s="13">
        <f>_xll.BDH("AMZN US Equity","BS_CASH_NEAR_CASH_ITEM","FQ4 2006","FQ4 2006","Currency=USD","Period=FQ","BEST_FPERIOD_OVERRIDE=FQ","FILING_STATUS=OR","SCALING_FORMAT=MLN","Sort=A","Dates=H","DateFormat=P","Fill=—","Direction=H","UseDPDF=Y")</f>
        <v>1022</v>
      </c>
      <c r="AI8" s="13">
        <f>_xll.BDH("AMZN US Equity","BS_CASH_NEAR_CASH_ITEM","FQ1 2007","FQ1 2007","Currency=USD","Period=FQ","BEST_FPERIOD_OVERRIDE=FQ","FILING_STATUS=OR","SCALING_FORMAT=MLN","Sort=A","Dates=H","DateFormat=P","Fill=—","Direction=H","UseDPDF=Y")</f>
        <v>748</v>
      </c>
      <c r="AJ8" s="13">
        <f>_xll.BDH("AMZN US Equity","BS_CASH_NEAR_CASH_ITEM","FQ2 2007","FQ2 2007","Currency=USD","Period=FQ","BEST_FPERIOD_OVERRIDE=FQ","FILING_STATUS=OR","SCALING_FORMAT=MLN","Sort=A","Dates=H","DateFormat=P","Fill=—","Direction=H","UseDPDF=Y")</f>
        <v>1004</v>
      </c>
      <c r="AK8" s="13">
        <f>_xll.BDH("AMZN US Equity","BS_CASH_NEAR_CASH_ITEM","FQ3 2007","FQ3 2007","Currency=USD","Period=FQ","BEST_FPERIOD_OVERRIDE=FQ","FILING_STATUS=OR","SCALING_FORMAT=MLN","Sort=A","Dates=H","DateFormat=P","Fill=—","Direction=H","UseDPDF=Y")</f>
        <v>1366</v>
      </c>
      <c r="AL8" s="13">
        <f>_xll.BDH("AMZN US Equity","BS_CASH_NEAR_CASH_ITEM","FQ4 2007","FQ4 2007","Currency=USD","Period=FQ","BEST_FPERIOD_OVERRIDE=FQ","FILING_STATUS=OR","SCALING_FORMAT=MLN","Sort=A","Dates=H","DateFormat=P","Fill=—","Direction=H","UseDPDF=Y")</f>
        <v>2539</v>
      </c>
      <c r="AM8" s="13">
        <f>_xll.BDH("AMZN US Equity","BS_CASH_NEAR_CASH_ITEM","FQ1 2008","FQ1 2008","Currency=USD","Period=FQ","BEST_FPERIOD_OVERRIDE=FQ","FILING_STATUS=OR","SCALING_FORMAT=MLN","Sort=A","Dates=H","DateFormat=P","Fill=—","Direction=H","UseDPDF=Y")</f>
        <v>1496</v>
      </c>
      <c r="AN8" s="13">
        <f>_xll.BDH("AMZN US Equity","BS_CASH_NEAR_CASH_ITEM","FQ2 2008","FQ2 2008","Currency=USD","Period=FQ","BEST_FPERIOD_OVERRIDE=FQ","FILING_STATUS=OR","SCALING_FORMAT=MLN","Sort=A","Dates=H","DateFormat=P","Fill=—","Direction=H","UseDPDF=Y")</f>
        <v>1548</v>
      </c>
      <c r="AO8" s="13">
        <f>_xll.BDH("AMZN US Equity","BS_CASH_NEAR_CASH_ITEM","FQ3 2008","FQ3 2008","Currency=USD","Period=FQ","BEST_FPERIOD_OVERRIDE=FQ","FILING_STATUS=OR","SCALING_FORMAT=MLN","Sort=A","Dates=H","DateFormat=P","Fill=—","Direction=H","UseDPDF=Y")</f>
        <v>1650</v>
      </c>
      <c r="AP8" s="13">
        <f>_xll.BDH("AMZN US Equity","BS_CASH_NEAR_CASH_ITEM","FQ4 2008","FQ4 2008","Currency=USD","Period=FQ","BEST_FPERIOD_OVERRIDE=FQ","FILING_STATUS=OR","SCALING_FORMAT=MLN","Sort=A","Dates=H","DateFormat=P","Fill=—","Direction=H","UseDPDF=Y")</f>
        <v>2769</v>
      </c>
    </row>
    <row r="9" spans="1:42" x14ac:dyDescent="0.25">
      <c r="A9" s="10" t="s">
        <v>184</v>
      </c>
      <c r="B9" s="10" t="s">
        <v>185</v>
      </c>
      <c r="C9" s="13">
        <f>_xll.BDH("AMZN US Equity","BS_MKT_SEC_OTHER_ST_INVEST","FQ4 1998","FQ4 1998","Currency=USD","Period=FQ","BEST_FPERIOD_OVERRIDE=FQ","FILING_STATUS=OR","SCALING_FORMAT=MLN","Sort=A","Dates=H","DateFormat=P","Fill=—","Direction=H","UseDPDF=Y")</f>
        <v>347.88400000000001</v>
      </c>
      <c r="D9" s="13">
        <f>_xll.BDH("AMZN US Equity","BS_MKT_SEC_OTHER_ST_INVEST","FQ1 1999","FQ1 1999","Currency=USD","Period=FQ","BEST_FPERIOD_OVERRIDE=FQ","FILING_STATUS=OR","SCALING_FORMAT=MLN","Sort=A","Dates=H","DateFormat=P","Fill=—","Direction=H","UseDPDF=Y")</f>
        <v>1437.7170000000001</v>
      </c>
      <c r="E9" s="13">
        <f>_xll.BDH("AMZN US Equity","BS_MKT_SEC_OTHER_ST_INVEST","FQ2 1999","FQ2 1999","Currency=USD","Period=FQ","BEST_FPERIOD_OVERRIDE=FQ","FILING_STATUS=OR","SCALING_FORMAT=MLN","Sort=A","Dates=H","DateFormat=P","Fill=—","Direction=H","UseDPDF=Y")</f>
        <v>1101.6980000000001</v>
      </c>
      <c r="F9" s="13">
        <f>_xll.BDH("AMZN US Equity","BS_MKT_SEC_OTHER_ST_INVEST","FQ3 1999","FQ3 1999","Currency=USD","Period=FQ","BEST_FPERIOD_OVERRIDE=FQ","FILING_STATUS=OR","SCALING_FORMAT=MLN","Sort=A","Dates=H","DateFormat=P","Fill=—","Direction=H","UseDPDF=Y")</f>
        <v>862.53599999999994</v>
      </c>
      <c r="G9" s="13">
        <f>_xll.BDH("AMZN US Equity","BS_MKT_SEC_OTHER_ST_INVEST","FQ4 1999","FQ4 1999","Currency=USD","Period=FQ","BEST_FPERIOD_OVERRIDE=FQ","FILING_STATUS=OR","SCALING_FORMAT=MLN","Sort=A","Dates=H","DateFormat=P","Fill=—","Direction=H","UseDPDF=Y")</f>
        <v>589.226</v>
      </c>
      <c r="H9" s="13">
        <f>_xll.BDH("AMZN US Equity","BS_MKT_SEC_OTHER_ST_INVEST","FQ1 2000","FQ1 2000","Currency=USD","Period=FQ","BEST_FPERIOD_OVERRIDE=FQ","FILING_STATUS=OR","SCALING_FORMAT=MLN","Sort=A","Dates=H","DateFormat=P","Fill=—","Direction=H","UseDPDF=Y")</f>
        <v>924.79399999999998</v>
      </c>
      <c r="I9" s="13">
        <f>_xll.BDH("AMZN US Equity","BS_MKT_SEC_OTHER_ST_INVEST","FQ3 2000","FQ3 2000","Currency=USD","Period=FQ","BEST_FPERIOD_OVERRIDE=FQ","FILING_STATUS=OR","SCALING_FORMAT=MLN","Sort=A","Dates=H","DateFormat=P","Fill=—","Direction=H","UseDPDF=Y")</f>
        <v>252.976</v>
      </c>
      <c r="J9" s="13">
        <f>_xll.BDH("AMZN US Equity","BS_MKT_SEC_OTHER_ST_INVEST","FQ4 2000","FQ4 2000","Currency=USD","Period=FQ","BEST_FPERIOD_OVERRIDE=FQ","FILING_STATUS=OR","SCALING_FORMAT=MLN","Sort=A","Dates=H","DateFormat=P","Fill=—","Direction=H","UseDPDF=Y")</f>
        <v>278.08699999999999</v>
      </c>
      <c r="K9" s="13">
        <f>_xll.BDH("AMZN US Equity","BS_MKT_SEC_OTHER_ST_INVEST","FQ1 2001","FQ1 2001","Currency=USD","Period=FQ","BEST_FPERIOD_OVERRIDE=FQ","FILING_STATUS=OR","SCALING_FORMAT=MLN","Sort=A","Dates=H","DateFormat=P","Fill=—","Direction=H","UseDPDF=Y")</f>
        <v>196.029</v>
      </c>
      <c r="L9" s="13">
        <f>_xll.BDH("AMZN US Equity","BS_MKT_SEC_OTHER_ST_INVEST","FQ2 2001","FQ2 2001","Currency=USD","Period=FQ","BEST_FPERIOD_OVERRIDE=FQ","FILING_STATUS=OR","SCALING_FORMAT=MLN","Sort=A","Dates=H","DateFormat=P","Fill=—","Direction=H","UseDPDF=Y")</f>
        <v>146.02000000000001</v>
      </c>
      <c r="M9" s="13">
        <f>_xll.BDH("AMZN US Equity","BS_MKT_SEC_OTHER_ST_INVEST","FQ3 2001","FQ3 2001","Currency=USD","Period=FQ","BEST_FPERIOD_OVERRIDE=FQ","FILING_STATUS=OR","SCALING_FORMAT=MLN","Sort=A","Dates=H","DateFormat=P","Fill=—","Direction=H","UseDPDF=Y")</f>
        <v>235.79300000000001</v>
      </c>
      <c r="N9" s="13">
        <f>_xll.BDH("AMZN US Equity","BS_MKT_SEC_OTHER_ST_INVEST","FQ4 2001","FQ4 2001","Currency=USD","Period=FQ","BEST_FPERIOD_OVERRIDE=FQ","FILING_STATUS=OR","SCALING_FORMAT=MLN","Sort=A","Dates=H","DateFormat=P","Fill=—","Direction=H","UseDPDF=Y")</f>
        <v>456.303</v>
      </c>
      <c r="O9" s="13">
        <f>_xll.BDH("AMZN US Equity","BS_MKT_SEC_OTHER_ST_INVEST","FQ1 2002","FQ1 2002","Currency=USD","Period=FQ","BEST_FPERIOD_OVERRIDE=FQ","FILING_STATUS=OR","SCALING_FORMAT=MLN","Sort=A","Dates=H","DateFormat=P","Fill=—","Direction=H","UseDPDF=Y")</f>
        <v>448.56900000000002</v>
      </c>
      <c r="P9" s="13">
        <f>_xll.BDH("AMZN US Equity","BS_MKT_SEC_OTHER_ST_INVEST","FQ2 2002","FQ2 2002","Currency=USD","Period=FQ","BEST_FPERIOD_OVERRIDE=FQ","FILING_STATUS=OR","SCALING_FORMAT=MLN","Sort=A","Dates=H","DateFormat=P","Fill=—","Direction=H","UseDPDF=Y")</f>
        <v>553.14099999999996</v>
      </c>
      <c r="Q9" s="13">
        <f>_xll.BDH("AMZN US Equity","BS_MKT_SEC_OTHER_ST_INVEST","FQ3 2002","FQ3 2002","Currency=USD","Period=FQ","BEST_FPERIOD_OVERRIDE=FQ","FILING_STATUS=OR","SCALING_FORMAT=MLN","Sort=A","Dates=H","DateFormat=P","Fill=—","Direction=H","UseDPDF=Y")</f>
        <v>538.23800000000006</v>
      </c>
      <c r="R9" s="13">
        <f>_xll.BDH("AMZN US Equity","BS_MKT_SEC_OTHER_ST_INVEST","FQ4 2002","FQ4 2002","Currency=USD","Period=FQ","BEST_FPERIOD_OVERRIDE=FQ","FILING_STATUS=OR","SCALING_FORMAT=MLN","Sort=A","Dates=H","DateFormat=P","Fill=—","Direction=H","UseDPDF=Y")</f>
        <v>562.71500000000003</v>
      </c>
      <c r="S9" s="13">
        <f>_xll.BDH("AMZN US Equity","BS_MKT_SEC_OTHER_ST_INVEST","FQ1 2003","FQ1 2003","Currency=USD","Period=FQ","BEST_FPERIOD_OVERRIDE=FQ","FILING_STATUS=OR","SCALING_FORMAT=MLN","Sort=A","Dates=H","DateFormat=P","Fill=—","Direction=H","UseDPDF=Y")</f>
        <v>586.779</v>
      </c>
      <c r="T9" s="13">
        <f>_xll.BDH("AMZN US Equity","BS_MKT_SEC_OTHER_ST_INVEST","FQ2 2003","FQ2 2003","Currency=USD","Period=FQ","BEST_FPERIOD_OVERRIDE=FQ","FILING_STATUS=OR","SCALING_FORMAT=MLN","Sort=A","Dates=H","DateFormat=P","Fill=—","Direction=H","UseDPDF=Y")</f>
        <v>347.04399999999998</v>
      </c>
      <c r="U9" s="13">
        <f>_xll.BDH("AMZN US Equity","BS_MKT_SEC_OTHER_ST_INVEST","FQ3 2003","FQ3 2003","Currency=USD","Period=FQ","BEST_FPERIOD_OVERRIDE=FQ","FILING_STATUS=OR","SCALING_FORMAT=MLN","Sort=A","Dates=H","DateFormat=P","Fill=—","Direction=H","UseDPDF=Y")</f>
        <v>398.24200000000002</v>
      </c>
      <c r="V9" s="13">
        <f>_xll.BDH("AMZN US Equity","BS_MKT_SEC_OTHER_ST_INVEST","FQ4 2003","FQ4 2003","Currency=USD","Period=FQ","BEST_FPERIOD_OVERRIDE=FQ","FILING_STATUS=OR","SCALING_FORMAT=MLN","Sort=A","Dates=H","DateFormat=P","Fill=—","Direction=H","UseDPDF=Y")</f>
        <v>292.55</v>
      </c>
      <c r="W9" s="13">
        <f>_xll.BDH("AMZN US Equity","BS_MKT_SEC_OTHER_ST_INVEST","FQ1 2004","FQ1 2004","Currency=USD","Period=FQ","BEST_FPERIOD_OVERRIDE=FQ","FILING_STATUS=OR","SCALING_FORMAT=MLN","Sort=A","Dates=H","DateFormat=P","Fill=—","Direction=H","UseDPDF=Y")</f>
        <v>229.554</v>
      </c>
      <c r="X9" s="13">
        <f>_xll.BDH("AMZN US Equity","BS_MKT_SEC_OTHER_ST_INVEST","FQ2 2004","FQ2 2004","Currency=USD","Period=FQ","BEST_FPERIOD_OVERRIDE=FQ","FILING_STATUS=OR","SCALING_FORMAT=MLN","Sort=A","Dates=H","DateFormat=P","Fill=—","Direction=H","UseDPDF=Y")</f>
        <v>450.20100000000002</v>
      </c>
      <c r="Y9" s="13">
        <f>_xll.BDH("AMZN US Equity","BS_MKT_SEC_OTHER_ST_INVEST","FQ3 2004","FQ3 2004","Currency=USD","Period=FQ","BEST_FPERIOD_OVERRIDE=FQ","FILING_STATUS=OR","SCALING_FORMAT=MLN","Sort=A","Dates=H","DateFormat=P","Fill=—","Direction=H","UseDPDF=Y")</f>
        <v>439.09199999999998</v>
      </c>
      <c r="Z9" s="13">
        <f>_xll.BDH("AMZN US Equity","BS_MKT_SEC_OTHER_ST_INVEST","FQ4 2004","FQ4 2004","Currency=USD","Period=FQ","BEST_FPERIOD_OVERRIDE=FQ","FILING_STATUS=OR","SCALING_FORMAT=MLN","Sort=A","Dates=H","DateFormat=P","Fill=—","Direction=H","UseDPDF=Y")</f>
        <v>476.59899999999999</v>
      </c>
      <c r="AA9" s="13">
        <f>_xll.BDH("AMZN US Equity","BS_MKT_SEC_OTHER_ST_INVEST","FQ1 2005","FQ1 2005","Currency=USD","Period=FQ","BEST_FPERIOD_OVERRIDE=FQ","FILING_STATUS=OR","SCALING_FORMAT=MLN","Sort=A","Dates=H","DateFormat=P","Fill=—","Direction=H","UseDPDF=Y")</f>
        <v>618</v>
      </c>
      <c r="AB9" s="13">
        <f>_xll.BDH("AMZN US Equity","BS_MKT_SEC_OTHER_ST_INVEST","FQ2 2005","FQ2 2005","Currency=USD","Period=FQ","BEST_FPERIOD_OVERRIDE=FQ","FILING_STATUS=OR","SCALING_FORMAT=MLN","Sort=A","Dates=H","DateFormat=P","Fill=—","Direction=H","UseDPDF=Y")</f>
        <v>696</v>
      </c>
      <c r="AC9" s="13">
        <f>_xll.BDH("AMZN US Equity","BS_MKT_SEC_OTHER_ST_INVEST","FQ3 2005","FQ3 2005","Currency=USD","Period=FQ","BEST_FPERIOD_OVERRIDE=FQ","FILING_STATUS=OR","SCALING_FORMAT=MLN","Sort=A","Dates=H","DateFormat=P","Fill=—","Direction=H","UseDPDF=Y")</f>
        <v>819</v>
      </c>
      <c r="AD9" s="13">
        <f>_xll.BDH("AMZN US Equity","BS_MKT_SEC_OTHER_ST_INVEST","FQ4 2005","FQ4 2005","Currency=USD","Period=FQ","BEST_FPERIOD_OVERRIDE=FQ","FILING_STATUS=OR","SCALING_FORMAT=MLN","Sort=A","Dates=H","DateFormat=P","Fill=—","Direction=H","UseDPDF=Y")</f>
        <v>987</v>
      </c>
      <c r="AE9" s="13">
        <f>_xll.BDH("AMZN US Equity","BS_MKT_SEC_OTHER_ST_INVEST","FQ1 2006","FQ1 2006","Currency=USD","Period=FQ","BEST_FPERIOD_OVERRIDE=FQ","FILING_STATUS=OR","SCALING_FORMAT=MLN","Sort=A","Dates=H","DateFormat=P","Fill=—","Direction=H","UseDPDF=Y")</f>
        <v>827</v>
      </c>
      <c r="AF9" s="13">
        <f>_xll.BDH("AMZN US Equity","BS_MKT_SEC_OTHER_ST_INVEST","FQ2 2006","FQ2 2006","Currency=USD","Period=FQ","BEST_FPERIOD_OVERRIDE=FQ","FILING_STATUS=OR","SCALING_FORMAT=MLN","Sort=A","Dates=H","DateFormat=P","Fill=—","Direction=H","UseDPDF=Y")</f>
        <v>736</v>
      </c>
      <c r="AG9" s="13">
        <f>_xll.BDH("AMZN US Equity","BS_MKT_SEC_OTHER_ST_INVEST","FQ3 2006","FQ3 2006","Currency=USD","Period=FQ","BEST_FPERIOD_OVERRIDE=FQ","FILING_STATUS=OR","SCALING_FORMAT=MLN","Sort=A","Dates=H","DateFormat=P","Fill=—","Direction=H","UseDPDF=Y")</f>
        <v>526</v>
      </c>
      <c r="AH9" s="13">
        <f>_xll.BDH("AMZN US Equity","BS_MKT_SEC_OTHER_ST_INVEST","FQ4 2006","FQ4 2006","Currency=USD","Period=FQ","BEST_FPERIOD_OVERRIDE=FQ","FILING_STATUS=OR","SCALING_FORMAT=MLN","Sort=A","Dates=H","DateFormat=P","Fill=—","Direction=H","UseDPDF=Y")</f>
        <v>997</v>
      </c>
      <c r="AI9" s="13">
        <f>_xll.BDH("AMZN US Equity","BS_MKT_SEC_OTHER_ST_INVEST","FQ1 2007","FQ1 2007","Currency=USD","Period=FQ","BEST_FPERIOD_OVERRIDE=FQ","FILING_STATUS=OR","SCALING_FORMAT=MLN","Sort=A","Dates=H","DateFormat=P","Fill=—","Direction=H","UseDPDF=Y")</f>
        <v>672</v>
      </c>
      <c r="AJ9" s="13">
        <f>_xll.BDH("AMZN US Equity","BS_MKT_SEC_OTHER_ST_INVEST","FQ2 2007","FQ2 2007","Currency=USD","Period=FQ","BEST_FPERIOD_OVERRIDE=FQ","FILING_STATUS=OR","SCALING_FORMAT=MLN","Sort=A","Dates=H","DateFormat=P","Fill=—","Direction=H","UseDPDF=Y")</f>
        <v>661</v>
      </c>
      <c r="AK9" s="13">
        <f>_xll.BDH("AMZN US Equity","BS_MKT_SEC_OTHER_ST_INVEST","FQ3 2007","FQ3 2007","Currency=USD","Period=FQ","BEST_FPERIOD_OVERRIDE=FQ","FILING_STATUS=OR","SCALING_FORMAT=MLN","Sort=A","Dates=H","DateFormat=P","Fill=—","Direction=H","UseDPDF=Y")</f>
        <v>543</v>
      </c>
      <c r="AL9" s="13">
        <f>_xll.BDH("AMZN US Equity","BS_MKT_SEC_OTHER_ST_INVEST","FQ4 2007","FQ4 2007","Currency=USD","Period=FQ","BEST_FPERIOD_OVERRIDE=FQ","FILING_STATUS=OR","SCALING_FORMAT=MLN","Sort=A","Dates=H","DateFormat=P","Fill=—","Direction=H","UseDPDF=Y")</f>
        <v>573</v>
      </c>
      <c r="AM9" s="13">
        <f>_xll.BDH("AMZN US Equity","BS_MKT_SEC_OTHER_ST_INVEST","FQ1 2008","FQ1 2008","Currency=USD","Period=FQ","BEST_FPERIOD_OVERRIDE=FQ","FILING_STATUS=OR","SCALING_FORMAT=MLN","Sort=A","Dates=H","DateFormat=P","Fill=—","Direction=H","UseDPDF=Y")</f>
        <v>655</v>
      </c>
      <c r="AN9" s="13">
        <f>_xll.BDH("AMZN US Equity","BS_MKT_SEC_OTHER_ST_INVEST","FQ2 2008","FQ2 2008","Currency=USD","Period=FQ","BEST_FPERIOD_OVERRIDE=FQ","FILING_STATUS=OR","SCALING_FORMAT=MLN","Sort=A","Dates=H","DateFormat=P","Fill=—","Direction=H","UseDPDF=Y")</f>
        <v>832</v>
      </c>
      <c r="AO9" s="13">
        <f>_xll.BDH("AMZN US Equity","BS_MKT_SEC_OTHER_ST_INVEST","FQ3 2008","FQ3 2008","Currency=USD","Period=FQ","BEST_FPERIOD_OVERRIDE=FQ","FILING_STATUS=OR","SCALING_FORMAT=MLN","Sort=A","Dates=H","DateFormat=P","Fill=—","Direction=H","UseDPDF=Y")</f>
        <v>674</v>
      </c>
      <c r="AP9" s="13">
        <f>_xll.BDH("AMZN US Equity","BS_MKT_SEC_OTHER_ST_INVEST","FQ4 2008","FQ4 2008","Currency=USD","Period=FQ","BEST_FPERIOD_OVERRIDE=FQ","FILING_STATUS=OR","SCALING_FORMAT=MLN","Sort=A","Dates=H","DateFormat=P","Fill=—","Direction=H","UseDPDF=Y")</f>
        <v>958</v>
      </c>
    </row>
    <row r="10" spans="1:42" x14ac:dyDescent="0.25">
      <c r="A10" s="10" t="s">
        <v>186</v>
      </c>
      <c r="B10" s="10" t="s">
        <v>187</v>
      </c>
      <c r="C10" s="13">
        <f>_xll.BDH("AMZN US Equity","BS_ACCT_NOTE_RCV","FQ4 1998","FQ4 1998","Currency=USD","Period=FQ","BEST_FPERIOD_OVERRIDE=FQ","FILING_STATUS=OR","SCALING_FORMAT=MLN","Sort=A","Dates=H","DateFormat=P","Fill=—","Direction=H","UseDPDF=Y")</f>
        <v>0</v>
      </c>
      <c r="D10" s="13">
        <f>_xll.BDH("AMZN US Equity","BS_ACCT_NOTE_RCV","FQ1 1999","FQ1 1999","Currency=USD","Period=FQ","BEST_FPERIOD_OVERRIDE=FQ","FILING_STATUS=OR","SCALING_FORMAT=MLN","Sort=A","Dates=H","DateFormat=P","Fill=—","Direction=H","UseDPDF=Y")</f>
        <v>0</v>
      </c>
      <c r="E10" s="13">
        <f>_xll.BDH("AMZN US Equity","BS_ACCT_NOTE_RCV","FQ2 1999","FQ2 1999","Currency=USD","Period=FQ","BEST_FPERIOD_OVERRIDE=FQ","FILING_STATUS=OR","SCALING_FORMAT=MLN","Sort=A","Dates=H","DateFormat=P","Fill=—","Direction=H","UseDPDF=Y")</f>
        <v>0</v>
      </c>
      <c r="F10" s="13">
        <f>_xll.BDH("AMZN US Equity","BS_ACCT_NOTE_RCV","FQ3 1999","FQ3 1999","Currency=USD","Period=FQ","BEST_FPERIOD_OVERRIDE=FQ","FILING_STATUS=OR","SCALING_FORMAT=MLN","Sort=A","Dates=H","DateFormat=P","Fill=—","Direction=H","UseDPDF=Y")</f>
        <v>0</v>
      </c>
      <c r="G10" s="13">
        <f>_xll.BDH("AMZN US Equity","BS_ACCT_NOTE_RCV","FQ4 1999","FQ4 1999","Currency=USD","Period=FQ","BEST_FPERIOD_OVERRIDE=FQ","FILING_STATUS=OR","SCALING_FORMAT=MLN","Sort=A","Dates=H","DateFormat=P","Fill=—","Direction=H","UseDPDF=Y")</f>
        <v>0</v>
      </c>
      <c r="H10" s="13">
        <f>_xll.BDH("AMZN US Equity","BS_ACCT_NOTE_RCV","FQ1 2000","FQ1 2000","Currency=USD","Period=FQ","BEST_FPERIOD_OVERRIDE=FQ","FILING_STATUS=OR","SCALING_FORMAT=MLN","Sort=A","Dates=H","DateFormat=P","Fill=—","Direction=H","UseDPDF=Y")</f>
        <v>0</v>
      </c>
      <c r="I10" s="13">
        <f>_xll.BDH("AMZN US Equity","BS_ACCT_NOTE_RCV","FQ3 2000","FQ3 2000","Currency=USD","Period=FQ","BEST_FPERIOD_OVERRIDE=FQ","FILING_STATUS=OR","SCALING_FORMAT=MLN","Sort=A","Dates=H","DateFormat=P","Fill=—","Direction=H","UseDPDF=Y")</f>
        <v>0</v>
      </c>
      <c r="J10" s="13">
        <f>_xll.BDH("AMZN US Equity","BS_ACCT_NOTE_RCV","FQ4 2000","FQ4 2000","Currency=USD","Period=FQ","BEST_FPERIOD_OVERRIDE=FQ","FILING_STATUS=OR","SCALING_FORMAT=MLN","Sort=A","Dates=H","DateFormat=P","Fill=—","Direction=H","UseDPDF=Y")</f>
        <v>0</v>
      </c>
      <c r="K10" s="13">
        <f>_xll.BDH("AMZN US Equity","BS_ACCT_NOTE_RCV","FQ1 2001","FQ1 2001","Currency=USD","Period=FQ","BEST_FPERIOD_OVERRIDE=FQ","FILING_STATUS=OR","SCALING_FORMAT=MLN","Sort=A","Dates=H","DateFormat=P","Fill=—","Direction=H","UseDPDF=Y")</f>
        <v>0</v>
      </c>
      <c r="L10" s="13">
        <f>_xll.BDH("AMZN US Equity","BS_ACCT_NOTE_RCV","FQ2 2001","FQ2 2001","Currency=USD","Period=FQ","BEST_FPERIOD_OVERRIDE=FQ","FILING_STATUS=OR","SCALING_FORMAT=MLN","Sort=A","Dates=H","DateFormat=P","Fill=—","Direction=H","UseDPDF=Y")</f>
        <v>0</v>
      </c>
      <c r="M10" s="13">
        <f>_xll.BDH("AMZN US Equity","BS_ACCT_NOTE_RCV","FQ3 2001","FQ3 2001","Currency=USD","Period=FQ","BEST_FPERIOD_OVERRIDE=FQ","FILING_STATUS=OR","SCALING_FORMAT=MLN","Sort=A","Dates=H","DateFormat=P","Fill=—","Direction=H","UseDPDF=Y")</f>
        <v>0</v>
      </c>
      <c r="N10" s="13">
        <f>_xll.BDH("AMZN US Equity","BS_ACCT_NOTE_RCV","FQ4 2001","FQ4 2001","Currency=USD","Period=FQ","BEST_FPERIOD_OVERRIDE=FQ","FILING_STATUS=OR","SCALING_FORMAT=MLN","Sort=A","Dates=H","DateFormat=P","Fill=—","Direction=H","UseDPDF=Y")</f>
        <v>0</v>
      </c>
      <c r="O10" s="13">
        <f>_xll.BDH("AMZN US Equity","BS_ACCT_NOTE_RCV","FQ1 2002","FQ1 2002","Currency=USD","Period=FQ","BEST_FPERIOD_OVERRIDE=FQ","FILING_STATUS=OR","SCALING_FORMAT=MLN","Sort=A","Dates=H","DateFormat=P","Fill=—","Direction=H","UseDPDF=Y")</f>
        <v>0</v>
      </c>
      <c r="P10" s="13">
        <f>_xll.BDH("AMZN US Equity","BS_ACCT_NOTE_RCV","FQ2 2002","FQ2 2002","Currency=USD","Period=FQ","BEST_FPERIOD_OVERRIDE=FQ","FILING_STATUS=OR","SCALING_FORMAT=MLN","Sort=A","Dates=H","DateFormat=P","Fill=—","Direction=H","UseDPDF=Y")</f>
        <v>0</v>
      </c>
      <c r="Q10" s="13">
        <f>_xll.BDH("AMZN US Equity","BS_ACCT_NOTE_RCV","FQ3 2002","FQ3 2002","Currency=USD","Period=FQ","BEST_FPERIOD_OVERRIDE=FQ","FILING_STATUS=OR","SCALING_FORMAT=MLN","Sort=A","Dates=H","DateFormat=P","Fill=—","Direction=H","UseDPDF=Y")</f>
        <v>0</v>
      </c>
      <c r="R10" s="13">
        <f>_xll.BDH("AMZN US Equity","BS_ACCT_NOTE_RCV","FQ4 2002","FQ4 2002","Currency=USD","Period=FQ","BEST_FPERIOD_OVERRIDE=FQ","FILING_STATUS=OR","SCALING_FORMAT=MLN","Sort=A","Dates=H","DateFormat=P","Fill=—","Direction=H","UseDPDF=Y")</f>
        <v>0</v>
      </c>
      <c r="S10" s="13">
        <f>_xll.BDH("AMZN US Equity","BS_ACCT_NOTE_RCV","FQ1 2003","FQ1 2003","Currency=USD","Period=FQ","BEST_FPERIOD_OVERRIDE=FQ","FILING_STATUS=OR","SCALING_FORMAT=MLN","Sort=A","Dates=H","DateFormat=P","Fill=—","Direction=H","UseDPDF=Y")</f>
        <v>0</v>
      </c>
      <c r="T10" s="13">
        <f>_xll.BDH("AMZN US Equity","BS_ACCT_NOTE_RCV","FQ2 2003","FQ2 2003","Currency=USD","Period=FQ","BEST_FPERIOD_OVERRIDE=FQ","FILING_STATUS=OR","SCALING_FORMAT=MLN","Sort=A","Dates=H","DateFormat=P","Fill=—","Direction=H","UseDPDF=Y")</f>
        <v>0</v>
      </c>
      <c r="U10" s="13">
        <f>_xll.BDH("AMZN US Equity","BS_ACCT_NOTE_RCV","FQ3 2003","FQ3 2003","Currency=USD","Period=FQ","BEST_FPERIOD_OVERRIDE=FQ","FILING_STATUS=OR","SCALING_FORMAT=MLN","Sort=A","Dates=H","DateFormat=P","Fill=—","Direction=H","UseDPDF=Y")</f>
        <v>0</v>
      </c>
      <c r="V10" s="13">
        <f>_xll.BDH("AMZN US Equity","BS_ACCT_NOTE_RCV","FQ4 2003","FQ4 2003","Currency=USD","Period=FQ","BEST_FPERIOD_OVERRIDE=FQ","FILING_STATUS=OR","SCALING_FORMAT=MLN","Sort=A","Dates=H","DateFormat=P","Fill=—","Direction=H","UseDPDF=Y")</f>
        <v>0</v>
      </c>
      <c r="W10" s="13">
        <f>_xll.BDH("AMZN US Equity","BS_ACCT_NOTE_RCV","FQ1 2004","FQ1 2004","Currency=USD","Period=FQ","BEST_FPERIOD_OVERRIDE=FQ","FILING_STATUS=OR","SCALING_FORMAT=MLN","Sort=A","Dates=H","DateFormat=P","Fill=—","Direction=H","UseDPDF=Y")</f>
        <v>0</v>
      </c>
      <c r="X10" s="13">
        <f>_xll.BDH("AMZN US Equity","BS_ACCT_NOTE_RCV","FQ2 2004","FQ2 2004","Currency=USD","Period=FQ","BEST_FPERIOD_OVERRIDE=FQ","FILING_STATUS=OR","SCALING_FORMAT=MLN","Sort=A","Dates=H","DateFormat=P","Fill=—","Direction=H","UseDPDF=Y")</f>
        <v>0</v>
      </c>
      <c r="Y10" s="13">
        <f>_xll.BDH("AMZN US Equity","BS_ACCT_NOTE_RCV","FQ3 2004","FQ3 2004","Currency=USD","Period=FQ","BEST_FPERIOD_OVERRIDE=FQ","FILING_STATUS=OR","SCALING_FORMAT=MLN","Sort=A","Dates=H","DateFormat=P","Fill=—","Direction=H","UseDPDF=Y")</f>
        <v>0</v>
      </c>
      <c r="Z10" s="13">
        <f>_xll.BDH("AMZN US Equity","BS_ACCT_NOTE_RCV","FQ4 2004","FQ4 2004","Currency=USD","Period=FQ","BEST_FPERIOD_OVERRIDE=FQ","FILING_STATUS=OR","SCALING_FORMAT=MLN","Sort=A","Dates=H","DateFormat=P","Fill=—","Direction=H","UseDPDF=Y")</f>
        <v>199.1</v>
      </c>
      <c r="AA10" s="13">
        <f>_xll.BDH("AMZN US Equity","BS_ACCT_NOTE_RCV","FQ1 2005","FQ1 2005","Currency=USD","Period=FQ","BEST_FPERIOD_OVERRIDE=FQ","FILING_STATUS=OR","SCALING_FORMAT=MLN","Sort=A","Dates=H","DateFormat=P","Fill=—","Direction=H","UseDPDF=Y")</f>
        <v>171</v>
      </c>
      <c r="AB10" s="13">
        <f>_xll.BDH("AMZN US Equity","BS_ACCT_NOTE_RCV","FQ2 2005","FQ2 2005","Currency=USD","Period=FQ","BEST_FPERIOD_OVERRIDE=FQ","FILING_STATUS=OR","SCALING_FORMAT=MLN","Sort=A","Dates=H","DateFormat=P","Fill=—","Direction=H","UseDPDF=Y")</f>
        <v>155</v>
      </c>
      <c r="AC10" s="13">
        <f>_xll.BDH("AMZN US Equity","BS_ACCT_NOTE_RCV","FQ3 2005","FQ3 2005","Currency=USD","Period=FQ","BEST_FPERIOD_OVERRIDE=FQ","FILING_STATUS=OR","SCALING_FORMAT=MLN","Sort=A","Dates=H","DateFormat=P","Fill=—","Direction=H","UseDPDF=Y")</f>
        <v>188</v>
      </c>
      <c r="AD10" s="13">
        <f>_xll.BDH("AMZN US Equity","BS_ACCT_NOTE_RCV","FQ4 2005","FQ4 2005","Currency=USD","Period=FQ","BEST_FPERIOD_OVERRIDE=FQ","FILING_STATUS=OR","SCALING_FORMAT=MLN","Sort=A","Dates=H","DateFormat=P","Fill=—","Direction=H","UseDPDF=Y")</f>
        <v>274</v>
      </c>
      <c r="AE10" s="13">
        <f>_xll.BDH("AMZN US Equity","BS_ACCT_NOTE_RCV","FQ1 2006","FQ1 2006","Currency=USD","Period=FQ","BEST_FPERIOD_OVERRIDE=FQ","FILING_STATUS=OR","SCALING_FORMAT=MLN","Sort=A","Dates=H","DateFormat=P","Fill=—","Direction=H","UseDPDF=Y")</f>
        <v>228</v>
      </c>
      <c r="AF10" s="13">
        <f>_xll.BDH("AMZN US Equity","BS_ACCT_NOTE_RCV","FQ2 2006","FQ2 2006","Currency=USD","Period=FQ","BEST_FPERIOD_OVERRIDE=FQ","FILING_STATUS=OR","SCALING_FORMAT=MLN","Sort=A","Dates=H","DateFormat=P","Fill=—","Direction=H","UseDPDF=Y")</f>
        <v>225</v>
      </c>
      <c r="AG10" s="13">
        <f>_xll.BDH("AMZN US Equity","BS_ACCT_NOTE_RCV","FQ3 2006","FQ3 2006","Currency=USD","Period=FQ","BEST_FPERIOD_OVERRIDE=FQ","FILING_STATUS=OR","SCALING_FORMAT=MLN","Sort=A","Dates=H","DateFormat=P","Fill=—","Direction=H","UseDPDF=Y")</f>
        <v>281</v>
      </c>
      <c r="AH10" s="13">
        <f>_xll.BDH("AMZN US Equity","BS_ACCT_NOTE_RCV","FQ4 2006","FQ4 2006","Currency=USD","Period=FQ","BEST_FPERIOD_OVERRIDE=FQ","FILING_STATUS=OR","SCALING_FORMAT=MLN","Sort=A","Dates=H","DateFormat=P","Fill=—","Direction=H","UseDPDF=Y")</f>
        <v>399</v>
      </c>
      <c r="AI10" s="13">
        <f>_xll.BDH("AMZN US Equity","BS_ACCT_NOTE_RCV","FQ1 2007","FQ1 2007","Currency=USD","Period=FQ","BEST_FPERIOD_OVERRIDE=FQ","FILING_STATUS=OR","SCALING_FORMAT=MLN","Sort=A","Dates=H","DateFormat=P","Fill=—","Direction=H","UseDPDF=Y")</f>
        <v>358</v>
      </c>
      <c r="AJ10" s="13">
        <f>_xll.BDH("AMZN US Equity","BS_ACCT_NOTE_RCV","FQ2 2007","FQ2 2007","Currency=USD","Period=FQ","BEST_FPERIOD_OVERRIDE=FQ","FILING_STATUS=OR","SCALING_FORMAT=MLN","Sort=A","Dates=H","DateFormat=P","Fill=—","Direction=H","UseDPDF=Y")</f>
        <v>384</v>
      </c>
      <c r="AK10" s="13">
        <f>_xll.BDH("AMZN US Equity","BS_ACCT_NOTE_RCV","FQ3 2007","FQ3 2007","Currency=USD","Period=FQ","BEST_FPERIOD_OVERRIDE=FQ","FILING_STATUS=OR","SCALING_FORMAT=MLN","Sort=A","Dates=H","DateFormat=P","Fill=—","Direction=H","UseDPDF=Y")</f>
        <v>474</v>
      </c>
      <c r="AL10" s="13">
        <f>_xll.BDH("AMZN US Equity","BS_ACCT_NOTE_RCV","FQ4 2007","FQ4 2007","Currency=USD","Period=FQ","BEST_FPERIOD_OVERRIDE=FQ","FILING_STATUS=OR","SCALING_FORMAT=MLN","Sort=A","Dates=H","DateFormat=P","Fill=—","Direction=H","UseDPDF=Y")</f>
        <v>705</v>
      </c>
      <c r="AM10" s="13">
        <f>_xll.BDH("AMZN US Equity","BS_ACCT_NOTE_RCV","FQ1 2008","FQ1 2008","Currency=USD","Period=FQ","BEST_FPERIOD_OVERRIDE=FQ","FILING_STATUS=OR","SCALING_FORMAT=MLN","Sort=A","Dates=H","DateFormat=P","Fill=—","Direction=H","UseDPDF=Y")</f>
        <v>581</v>
      </c>
      <c r="AN10" s="13">
        <f>_xll.BDH("AMZN US Equity","BS_ACCT_NOTE_RCV","FQ2 2008","FQ2 2008","Currency=USD","Period=FQ","BEST_FPERIOD_OVERRIDE=FQ","FILING_STATUS=OR","SCALING_FORMAT=MLN","Sort=A","Dates=H","DateFormat=P","Fill=—","Direction=H","UseDPDF=Y")</f>
        <v>586</v>
      </c>
      <c r="AO10" s="13">
        <f>_xll.BDH("AMZN US Equity","BS_ACCT_NOTE_RCV","FQ3 2008","FQ3 2008","Currency=USD","Period=FQ","BEST_FPERIOD_OVERRIDE=FQ","FILING_STATUS=OR","SCALING_FORMAT=MLN","Sort=A","Dates=H","DateFormat=P","Fill=—","Direction=H","UseDPDF=Y")</f>
        <v>597</v>
      </c>
      <c r="AP10" s="13">
        <f>_xll.BDH("AMZN US Equity","BS_ACCT_NOTE_RCV","FQ4 2008","FQ4 2008","Currency=USD","Period=FQ","BEST_FPERIOD_OVERRIDE=FQ","FILING_STATUS=OR","SCALING_FORMAT=MLN","Sort=A","Dates=H","DateFormat=P","Fill=—","Direction=H","UseDPDF=Y")</f>
        <v>827</v>
      </c>
    </row>
    <row r="11" spans="1:42" x14ac:dyDescent="0.25">
      <c r="A11" s="10" t="s">
        <v>188</v>
      </c>
      <c r="B11" s="10" t="s">
        <v>189</v>
      </c>
      <c r="C11" s="13" t="str">
        <f>_xll.BDH("AMZN US Equity","BS_ACCTS_REC_EXCL_NOTES_REC","FQ4 1998","FQ4 1998","Currency=USD","Period=FQ","BEST_FPERIOD_OVERRIDE=FQ","FILING_STATUS=OR","SCALING_FORMAT=MLN","Sort=A","Dates=H","DateFormat=P","Fill=—","Direction=H","UseDPDF=Y")</f>
        <v>—</v>
      </c>
      <c r="D11" s="13" t="str">
        <f>_xll.BDH("AMZN US Equity","BS_ACCTS_REC_EXCL_NOTES_REC","FQ1 1999","FQ1 1999","Currency=USD","Period=FQ","BEST_FPERIOD_OVERRIDE=FQ","FILING_STATUS=OR","SCALING_FORMAT=MLN","Sort=A","Dates=H","DateFormat=P","Fill=—","Direction=H","UseDPDF=Y")</f>
        <v>—</v>
      </c>
      <c r="E11" s="13" t="str">
        <f>_xll.BDH("AMZN US Equity","BS_ACCTS_REC_EXCL_NOTES_REC","FQ2 1999","FQ2 1999","Currency=USD","Period=FQ","BEST_FPERIOD_OVERRIDE=FQ","FILING_STATUS=OR","SCALING_FORMAT=MLN","Sort=A","Dates=H","DateFormat=P","Fill=—","Direction=H","UseDPDF=Y")</f>
        <v>—</v>
      </c>
      <c r="F11" s="13" t="str">
        <f>_xll.BDH("AMZN US Equity","BS_ACCTS_REC_EXCL_NOTES_REC","FQ3 1999","FQ3 1999","Currency=USD","Period=FQ","BEST_FPERIOD_OVERRIDE=FQ","FILING_STATUS=OR","SCALING_FORMAT=MLN","Sort=A","Dates=H","DateFormat=P","Fill=—","Direction=H","UseDPDF=Y")</f>
        <v>—</v>
      </c>
      <c r="G11" s="13" t="str">
        <f>_xll.BDH("AMZN US Equity","BS_ACCTS_REC_EXCL_NOTES_REC","FQ4 1999","FQ4 1999","Currency=USD","Period=FQ","BEST_FPERIOD_OVERRIDE=FQ","FILING_STATUS=OR","SCALING_FORMAT=MLN","Sort=A","Dates=H","DateFormat=P","Fill=—","Direction=H","UseDPDF=Y")</f>
        <v>—</v>
      </c>
      <c r="H11" s="13" t="str">
        <f>_xll.BDH("AMZN US Equity","BS_ACCTS_REC_EXCL_NOTES_REC","FQ1 2000","FQ1 2000","Currency=USD","Period=FQ","BEST_FPERIOD_OVERRIDE=FQ","FILING_STATUS=OR","SCALING_FORMAT=MLN","Sort=A","Dates=H","DateFormat=P","Fill=—","Direction=H","UseDPDF=Y")</f>
        <v>—</v>
      </c>
      <c r="I11" s="13" t="str">
        <f>_xll.BDH("AMZN US Equity","BS_ACCTS_REC_EXCL_NOTES_REC","FQ3 2000","FQ3 2000","Currency=USD","Period=FQ","BEST_FPERIOD_OVERRIDE=FQ","FILING_STATUS=OR","SCALING_FORMAT=MLN","Sort=A","Dates=H","DateFormat=P","Fill=—","Direction=H","UseDPDF=Y")</f>
        <v>—</v>
      </c>
      <c r="J11" s="13" t="str">
        <f>_xll.BDH("AMZN US Equity","BS_ACCTS_REC_EXCL_NOTES_REC","FQ4 2000","FQ4 2000","Currency=USD","Period=FQ","BEST_FPERIOD_OVERRIDE=FQ","FILING_STATUS=OR","SCALING_FORMAT=MLN","Sort=A","Dates=H","DateFormat=P","Fill=—","Direction=H","UseDPDF=Y")</f>
        <v>—</v>
      </c>
      <c r="K11" s="13" t="str">
        <f>_xll.BDH("AMZN US Equity","BS_ACCTS_REC_EXCL_NOTES_REC","FQ1 2001","FQ1 2001","Currency=USD","Period=FQ","BEST_FPERIOD_OVERRIDE=FQ","FILING_STATUS=OR","SCALING_FORMAT=MLN","Sort=A","Dates=H","DateFormat=P","Fill=—","Direction=H","UseDPDF=Y")</f>
        <v>—</v>
      </c>
      <c r="L11" s="13" t="str">
        <f>_xll.BDH("AMZN US Equity","BS_ACCTS_REC_EXCL_NOTES_REC","FQ2 2001","FQ2 2001","Currency=USD","Period=FQ","BEST_FPERIOD_OVERRIDE=FQ","FILING_STATUS=OR","SCALING_FORMAT=MLN","Sort=A","Dates=H","DateFormat=P","Fill=—","Direction=H","UseDPDF=Y")</f>
        <v>—</v>
      </c>
      <c r="M11" s="13" t="str">
        <f>_xll.BDH("AMZN US Equity","BS_ACCTS_REC_EXCL_NOTES_REC","FQ3 2001","FQ3 2001","Currency=USD","Period=FQ","BEST_FPERIOD_OVERRIDE=FQ","FILING_STATUS=OR","SCALING_FORMAT=MLN","Sort=A","Dates=H","DateFormat=P","Fill=—","Direction=H","UseDPDF=Y")</f>
        <v>—</v>
      </c>
      <c r="N11" s="13" t="str">
        <f>_xll.BDH("AMZN US Equity","BS_ACCTS_REC_EXCL_NOTES_REC","FQ4 2001","FQ4 2001","Currency=USD","Period=FQ","BEST_FPERIOD_OVERRIDE=FQ","FILING_STATUS=OR","SCALING_FORMAT=MLN","Sort=A","Dates=H","DateFormat=P","Fill=—","Direction=H","UseDPDF=Y")</f>
        <v>—</v>
      </c>
      <c r="O11" s="13" t="str">
        <f>_xll.BDH("AMZN US Equity","BS_ACCTS_REC_EXCL_NOTES_REC","FQ1 2002","FQ1 2002","Currency=USD","Period=FQ","BEST_FPERIOD_OVERRIDE=FQ","FILING_STATUS=OR","SCALING_FORMAT=MLN","Sort=A","Dates=H","DateFormat=P","Fill=—","Direction=H","UseDPDF=Y")</f>
        <v>—</v>
      </c>
      <c r="P11" s="13" t="str">
        <f>_xll.BDH("AMZN US Equity","BS_ACCTS_REC_EXCL_NOTES_REC","FQ2 2002","FQ2 2002","Currency=USD","Period=FQ","BEST_FPERIOD_OVERRIDE=FQ","FILING_STATUS=OR","SCALING_FORMAT=MLN","Sort=A","Dates=H","DateFormat=P","Fill=—","Direction=H","UseDPDF=Y")</f>
        <v>—</v>
      </c>
      <c r="Q11" s="13" t="str">
        <f>_xll.BDH("AMZN US Equity","BS_ACCTS_REC_EXCL_NOTES_REC","FQ3 2002","FQ3 2002","Currency=USD","Period=FQ","BEST_FPERIOD_OVERRIDE=FQ","FILING_STATUS=OR","SCALING_FORMAT=MLN","Sort=A","Dates=H","DateFormat=P","Fill=—","Direction=H","UseDPDF=Y")</f>
        <v>—</v>
      </c>
      <c r="R11" s="13">
        <f>_xll.BDH("AMZN US Equity","BS_ACCTS_REC_EXCL_NOTES_REC","FQ4 2002","FQ4 2002","Currency=USD","Period=FQ","BEST_FPERIOD_OVERRIDE=FQ","FILING_STATUS=OR","SCALING_FORMAT=MLN","Sort=A","Dates=H","DateFormat=P","Fill=—","Direction=H","UseDPDF=Y")</f>
        <v>112.282</v>
      </c>
      <c r="S11" s="13" t="str">
        <f>_xll.BDH("AMZN US Equity","BS_ACCTS_REC_EXCL_NOTES_REC","FQ1 2003","FQ1 2003","Currency=USD","Period=FQ","BEST_FPERIOD_OVERRIDE=FQ","FILING_STATUS=OR","SCALING_FORMAT=MLN","Sort=A","Dates=H","DateFormat=P","Fill=—","Direction=H","UseDPDF=Y")</f>
        <v>—</v>
      </c>
      <c r="T11" s="13" t="str">
        <f>_xll.BDH("AMZN US Equity","BS_ACCTS_REC_EXCL_NOTES_REC","FQ2 2003","FQ2 2003","Currency=USD","Period=FQ","BEST_FPERIOD_OVERRIDE=FQ","FILING_STATUS=OR","SCALING_FORMAT=MLN","Sort=A","Dates=H","DateFormat=P","Fill=—","Direction=H","UseDPDF=Y")</f>
        <v>—</v>
      </c>
      <c r="U11" s="13" t="str">
        <f>_xll.BDH("AMZN US Equity","BS_ACCTS_REC_EXCL_NOTES_REC","FQ3 2003","FQ3 2003","Currency=USD","Period=FQ","BEST_FPERIOD_OVERRIDE=FQ","FILING_STATUS=OR","SCALING_FORMAT=MLN","Sort=A","Dates=H","DateFormat=P","Fill=—","Direction=H","UseDPDF=Y")</f>
        <v>—</v>
      </c>
      <c r="V11" s="13">
        <f>_xll.BDH("AMZN US Equity","BS_ACCTS_REC_EXCL_NOTES_REC","FQ4 2003","FQ4 2003","Currency=USD","Period=FQ","BEST_FPERIOD_OVERRIDE=FQ","FILING_STATUS=OR","SCALING_FORMAT=MLN","Sort=A","Dates=H","DateFormat=P","Fill=—","Direction=H","UseDPDF=Y")</f>
        <v>132.06899999999999</v>
      </c>
      <c r="W11" s="13" t="str">
        <f>_xll.BDH("AMZN US Equity","BS_ACCTS_REC_EXCL_NOTES_REC","FQ1 2004","FQ1 2004","Currency=USD","Period=FQ","BEST_FPERIOD_OVERRIDE=FQ","FILING_STATUS=OR","SCALING_FORMAT=MLN","Sort=A","Dates=H","DateFormat=P","Fill=—","Direction=H","UseDPDF=Y")</f>
        <v>—</v>
      </c>
      <c r="X11" s="13" t="str">
        <f>_xll.BDH("AMZN US Equity","BS_ACCTS_REC_EXCL_NOTES_REC","FQ2 2004","FQ2 2004","Currency=USD","Period=FQ","BEST_FPERIOD_OVERRIDE=FQ","FILING_STATUS=OR","SCALING_FORMAT=MLN","Sort=A","Dates=H","DateFormat=P","Fill=—","Direction=H","UseDPDF=Y")</f>
        <v>—</v>
      </c>
      <c r="Y11" s="13">
        <f>_xll.BDH("AMZN US Equity","BS_ACCTS_REC_EXCL_NOTES_REC","FQ3 2004","FQ3 2004","Currency=USD","Period=FQ","BEST_FPERIOD_OVERRIDE=FQ","FILING_STATUS=OR","SCALING_FORMAT=MLN","Sort=A","Dates=H","DateFormat=P","Fill=—","Direction=H","UseDPDF=Y")</f>
        <v>150.76400000000001</v>
      </c>
      <c r="Z11" s="13">
        <f>_xll.BDH("AMZN US Equity","BS_ACCTS_REC_EXCL_NOTES_REC","FQ4 2004","FQ4 2004","Currency=USD","Period=FQ","BEST_FPERIOD_OVERRIDE=FQ","FILING_STATUS=OR","SCALING_FORMAT=MLN","Sort=A","Dates=H","DateFormat=P","Fill=—","Direction=H","UseDPDF=Y")</f>
        <v>199.1</v>
      </c>
      <c r="AA11" s="13">
        <f>_xll.BDH("AMZN US Equity","BS_ACCTS_REC_EXCL_NOTES_REC","FQ1 2005","FQ1 2005","Currency=USD","Period=FQ","BEST_FPERIOD_OVERRIDE=FQ","FILING_STATUS=OR","SCALING_FORMAT=MLN","Sort=A","Dates=H","DateFormat=P","Fill=—","Direction=H","UseDPDF=Y")</f>
        <v>171</v>
      </c>
      <c r="AB11" s="13">
        <f>_xll.BDH("AMZN US Equity","BS_ACCTS_REC_EXCL_NOTES_REC","FQ2 2005","FQ2 2005","Currency=USD","Period=FQ","BEST_FPERIOD_OVERRIDE=FQ","FILING_STATUS=OR","SCALING_FORMAT=MLN","Sort=A","Dates=H","DateFormat=P","Fill=—","Direction=H","UseDPDF=Y")</f>
        <v>155</v>
      </c>
      <c r="AC11" s="13">
        <f>_xll.BDH("AMZN US Equity","BS_ACCTS_REC_EXCL_NOTES_REC","FQ3 2005","FQ3 2005","Currency=USD","Period=FQ","BEST_FPERIOD_OVERRIDE=FQ","FILING_STATUS=OR","SCALING_FORMAT=MLN","Sort=A","Dates=H","DateFormat=P","Fill=—","Direction=H","UseDPDF=Y")</f>
        <v>188</v>
      </c>
      <c r="AD11" s="13">
        <f>_xll.BDH("AMZN US Equity","BS_ACCTS_REC_EXCL_NOTES_REC","FQ4 2005","FQ4 2005","Currency=USD","Period=FQ","BEST_FPERIOD_OVERRIDE=FQ","FILING_STATUS=OR","SCALING_FORMAT=MLN","Sort=A","Dates=H","DateFormat=P","Fill=—","Direction=H","UseDPDF=Y")</f>
        <v>274</v>
      </c>
      <c r="AE11" s="13">
        <f>_xll.BDH("AMZN US Equity","BS_ACCTS_REC_EXCL_NOTES_REC","FQ1 2006","FQ1 2006","Currency=USD","Period=FQ","BEST_FPERIOD_OVERRIDE=FQ","FILING_STATUS=OR","SCALING_FORMAT=MLN","Sort=A","Dates=H","DateFormat=P","Fill=—","Direction=H","UseDPDF=Y")</f>
        <v>228</v>
      </c>
      <c r="AF11" s="13">
        <f>_xll.BDH("AMZN US Equity","BS_ACCTS_REC_EXCL_NOTES_REC","FQ2 2006","FQ2 2006","Currency=USD","Period=FQ","BEST_FPERIOD_OVERRIDE=FQ","FILING_STATUS=OR","SCALING_FORMAT=MLN","Sort=A","Dates=H","DateFormat=P","Fill=—","Direction=H","UseDPDF=Y")</f>
        <v>225</v>
      </c>
      <c r="AG11" s="13">
        <f>_xll.BDH("AMZN US Equity","BS_ACCTS_REC_EXCL_NOTES_REC","FQ3 2006","FQ3 2006","Currency=USD","Period=FQ","BEST_FPERIOD_OVERRIDE=FQ","FILING_STATUS=OR","SCALING_FORMAT=MLN","Sort=A","Dates=H","DateFormat=P","Fill=—","Direction=H","UseDPDF=Y")</f>
        <v>281</v>
      </c>
      <c r="AH11" s="13">
        <f>_xll.BDH("AMZN US Equity","BS_ACCTS_REC_EXCL_NOTES_REC","FQ4 2006","FQ4 2006","Currency=USD","Period=FQ","BEST_FPERIOD_OVERRIDE=FQ","FILING_STATUS=OR","SCALING_FORMAT=MLN","Sort=A","Dates=H","DateFormat=P","Fill=—","Direction=H","UseDPDF=Y")</f>
        <v>399</v>
      </c>
      <c r="AI11" s="13">
        <f>_xll.BDH("AMZN US Equity","BS_ACCTS_REC_EXCL_NOTES_REC","FQ1 2007","FQ1 2007","Currency=USD","Period=FQ","BEST_FPERIOD_OVERRIDE=FQ","FILING_STATUS=OR","SCALING_FORMAT=MLN","Sort=A","Dates=H","DateFormat=P","Fill=—","Direction=H","UseDPDF=Y")</f>
        <v>358</v>
      </c>
      <c r="AJ11" s="13">
        <f>_xll.BDH("AMZN US Equity","BS_ACCTS_REC_EXCL_NOTES_REC","FQ2 2007","FQ2 2007","Currency=USD","Period=FQ","BEST_FPERIOD_OVERRIDE=FQ","FILING_STATUS=OR","SCALING_FORMAT=MLN","Sort=A","Dates=H","DateFormat=P","Fill=—","Direction=H","UseDPDF=Y")</f>
        <v>384</v>
      </c>
      <c r="AK11" s="13">
        <f>_xll.BDH("AMZN US Equity","BS_ACCTS_REC_EXCL_NOTES_REC","FQ3 2007","FQ3 2007","Currency=USD","Period=FQ","BEST_FPERIOD_OVERRIDE=FQ","FILING_STATUS=OR","SCALING_FORMAT=MLN","Sort=A","Dates=H","DateFormat=P","Fill=—","Direction=H","UseDPDF=Y")</f>
        <v>474</v>
      </c>
      <c r="AL11" s="13">
        <f>_xll.BDH("AMZN US Equity","BS_ACCTS_REC_EXCL_NOTES_REC","FQ4 2007","FQ4 2007","Currency=USD","Period=FQ","BEST_FPERIOD_OVERRIDE=FQ","FILING_STATUS=OR","SCALING_FORMAT=MLN","Sort=A","Dates=H","DateFormat=P","Fill=—","Direction=H","UseDPDF=Y")</f>
        <v>705</v>
      </c>
      <c r="AM11" s="13">
        <f>_xll.BDH("AMZN US Equity","BS_ACCTS_REC_EXCL_NOTES_REC","FQ1 2008","FQ1 2008","Currency=USD","Period=FQ","BEST_FPERIOD_OVERRIDE=FQ","FILING_STATUS=OR","SCALING_FORMAT=MLN","Sort=A","Dates=H","DateFormat=P","Fill=—","Direction=H","UseDPDF=Y")</f>
        <v>581</v>
      </c>
      <c r="AN11" s="13">
        <f>_xll.BDH("AMZN US Equity","BS_ACCTS_REC_EXCL_NOTES_REC","FQ2 2008","FQ2 2008","Currency=USD","Period=FQ","BEST_FPERIOD_OVERRIDE=FQ","FILING_STATUS=OR","SCALING_FORMAT=MLN","Sort=A","Dates=H","DateFormat=P","Fill=—","Direction=H","UseDPDF=Y")</f>
        <v>586</v>
      </c>
      <c r="AO11" s="13">
        <f>_xll.BDH("AMZN US Equity","BS_ACCTS_REC_EXCL_NOTES_REC","FQ3 2008","FQ3 2008","Currency=USD","Period=FQ","BEST_FPERIOD_OVERRIDE=FQ","FILING_STATUS=OR","SCALING_FORMAT=MLN","Sort=A","Dates=H","DateFormat=P","Fill=—","Direction=H","UseDPDF=Y")</f>
        <v>597</v>
      </c>
      <c r="AP11" s="13">
        <f>_xll.BDH("AMZN US Equity","BS_ACCTS_REC_EXCL_NOTES_REC","FQ4 2008","FQ4 2008","Currency=USD","Period=FQ","BEST_FPERIOD_OVERRIDE=FQ","FILING_STATUS=OR","SCALING_FORMAT=MLN","Sort=A","Dates=H","DateFormat=P","Fill=—","Direction=H","UseDPDF=Y")</f>
        <v>827</v>
      </c>
    </row>
    <row r="12" spans="1:42" x14ac:dyDescent="0.25">
      <c r="A12" s="10" t="s">
        <v>190</v>
      </c>
      <c r="B12" s="10" t="s">
        <v>191</v>
      </c>
      <c r="C12" s="13">
        <f>_xll.BDH("AMZN US Equity","BS_INVENTORIES","FQ4 1998","FQ4 1998","Currency=USD","Period=FQ","BEST_FPERIOD_OVERRIDE=FQ","FILING_STATUS=OR","SCALING_FORMAT=MLN","Sort=A","Dates=H","DateFormat=P","Fill=—","Direction=H","UseDPDF=Y")</f>
        <v>29.501000000000001</v>
      </c>
      <c r="D12" s="13">
        <f>_xll.BDH("AMZN US Equity","BS_INVENTORIES","FQ1 1999","FQ1 1999","Currency=USD","Period=FQ","BEST_FPERIOD_OVERRIDE=FQ","FILING_STATUS=OR","SCALING_FORMAT=MLN","Sort=A","Dates=H","DateFormat=P","Fill=—","Direction=H","UseDPDF=Y")</f>
        <v>45.235999999999997</v>
      </c>
      <c r="E12" s="13">
        <f>_xll.BDH("AMZN US Equity","BS_INVENTORIES","FQ2 1999","FQ2 1999","Currency=USD","Period=FQ","BEST_FPERIOD_OVERRIDE=FQ","FILING_STATUS=OR","SCALING_FORMAT=MLN","Sort=A","Dates=H","DateFormat=P","Fill=—","Direction=H","UseDPDF=Y")</f>
        <v>59.387</v>
      </c>
      <c r="F12" s="13">
        <f>_xll.BDH("AMZN US Equity","BS_INVENTORIES","FQ3 1999","FQ3 1999","Currency=USD","Period=FQ","BEST_FPERIOD_OVERRIDE=FQ","FILING_STATUS=OR","SCALING_FORMAT=MLN","Sort=A","Dates=H","DateFormat=P","Fill=—","Direction=H","UseDPDF=Y")</f>
        <v>118.79300000000001</v>
      </c>
      <c r="G12" s="13">
        <f>_xll.BDH("AMZN US Equity","BS_INVENTORIES","FQ4 1999","FQ4 1999","Currency=USD","Period=FQ","BEST_FPERIOD_OVERRIDE=FQ","FILING_STATUS=OR","SCALING_FORMAT=MLN","Sort=A","Dates=H","DateFormat=P","Fill=—","Direction=H","UseDPDF=Y")</f>
        <v>220.64599999999999</v>
      </c>
      <c r="H12" s="13">
        <f>_xll.BDH("AMZN US Equity","BS_INVENTORIES","FQ1 2000","FQ1 2000","Currency=USD","Period=FQ","BEST_FPERIOD_OVERRIDE=FQ","FILING_STATUS=OR","SCALING_FORMAT=MLN","Sort=A","Dates=H","DateFormat=P","Fill=—","Direction=H","UseDPDF=Y")</f>
        <v>172.25700000000001</v>
      </c>
      <c r="I12" s="13">
        <f>_xll.BDH("AMZN US Equity","BS_INVENTORIES","FQ3 2000","FQ3 2000","Currency=USD","Period=FQ","BEST_FPERIOD_OVERRIDE=FQ","FILING_STATUS=OR","SCALING_FORMAT=MLN","Sort=A","Dates=H","DateFormat=P","Fill=—","Direction=H","UseDPDF=Y")</f>
        <v>163.88</v>
      </c>
      <c r="J12" s="13">
        <f>_xll.BDH("AMZN US Equity","BS_INVENTORIES","FQ4 2000","FQ4 2000","Currency=USD","Period=FQ","BEST_FPERIOD_OVERRIDE=FQ","FILING_STATUS=OR","SCALING_FORMAT=MLN","Sort=A","Dates=H","DateFormat=P","Fill=—","Direction=H","UseDPDF=Y")</f>
        <v>174.56299999999999</v>
      </c>
      <c r="K12" s="13">
        <f>_xll.BDH("AMZN US Equity","BS_INVENTORIES","FQ1 2001","FQ1 2001","Currency=USD","Period=FQ","BEST_FPERIOD_OVERRIDE=FQ","FILING_STATUS=OR","SCALING_FORMAT=MLN","Sort=A","Dates=H","DateFormat=P","Fill=—","Direction=H","UseDPDF=Y")</f>
        <v>155.56200000000001</v>
      </c>
      <c r="L12" s="13">
        <f>_xll.BDH("AMZN US Equity","BS_INVENTORIES","FQ2 2001","FQ2 2001","Currency=USD","Period=FQ","BEST_FPERIOD_OVERRIDE=FQ","FILING_STATUS=OR","SCALING_FORMAT=MLN","Sort=A","Dates=H","DateFormat=P","Fill=—","Direction=H","UseDPDF=Y")</f>
        <v>129.035</v>
      </c>
      <c r="M12" s="13">
        <f>_xll.BDH("AMZN US Equity","BS_INVENTORIES","FQ3 2001","FQ3 2001","Currency=USD","Period=FQ","BEST_FPERIOD_OVERRIDE=FQ","FILING_STATUS=OR","SCALING_FORMAT=MLN","Sort=A","Dates=H","DateFormat=P","Fill=—","Direction=H","UseDPDF=Y")</f>
        <v>130.739</v>
      </c>
      <c r="N12" s="13">
        <f>_xll.BDH("AMZN US Equity","BS_INVENTORIES","FQ4 2001","FQ4 2001","Currency=USD","Period=FQ","BEST_FPERIOD_OVERRIDE=FQ","FILING_STATUS=OR","SCALING_FORMAT=MLN","Sort=A","Dates=H","DateFormat=P","Fill=—","Direction=H","UseDPDF=Y")</f>
        <v>143.72200000000001</v>
      </c>
      <c r="O12" s="13">
        <f>_xll.BDH("AMZN US Equity","BS_INVENTORIES","FQ1 2002","FQ1 2002","Currency=USD","Period=FQ","BEST_FPERIOD_OVERRIDE=FQ","FILING_STATUS=OR","SCALING_FORMAT=MLN","Sort=A","Dates=H","DateFormat=P","Fill=—","Direction=H","UseDPDF=Y")</f>
        <v>138.99600000000001</v>
      </c>
      <c r="P12" s="13">
        <f>_xll.BDH("AMZN US Equity","BS_INVENTORIES","FQ2 2002","FQ2 2002","Currency=USD","Period=FQ","BEST_FPERIOD_OVERRIDE=FQ","FILING_STATUS=OR","SCALING_FORMAT=MLN","Sort=A","Dates=H","DateFormat=P","Fill=—","Direction=H","UseDPDF=Y")</f>
        <v>126.794</v>
      </c>
      <c r="Q12" s="13">
        <f>_xll.BDH("AMZN US Equity","BS_INVENTORIES","FQ3 2002","FQ3 2002","Currency=USD","Period=FQ","BEST_FPERIOD_OVERRIDE=FQ","FILING_STATUS=OR","SCALING_FORMAT=MLN","Sort=A","Dates=H","DateFormat=P","Fill=—","Direction=H","UseDPDF=Y")</f>
        <v>151.51400000000001</v>
      </c>
      <c r="R12" s="13">
        <f>_xll.BDH("AMZN US Equity","BS_INVENTORIES","FQ4 2002","FQ4 2002","Currency=USD","Period=FQ","BEST_FPERIOD_OVERRIDE=FQ","FILING_STATUS=OR","SCALING_FORMAT=MLN","Sort=A","Dates=H","DateFormat=P","Fill=—","Direction=H","UseDPDF=Y")</f>
        <v>202.42500000000001</v>
      </c>
      <c r="S12" s="13">
        <f>_xll.BDH("AMZN US Equity","BS_INVENTORIES","FQ1 2003","FQ1 2003","Currency=USD","Period=FQ","BEST_FPERIOD_OVERRIDE=FQ","FILING_STATUS=OR","SCALING_FORMAT=MLN","Sort=A","Dates=H","DateFormat=P","Fill=—","Direction=H","UseDPDF=Y")</f>
        <v>173.03</v>
      </c>
      <c r="T12" s="13">
        <f>_xll.BDH("AMZN US Equity","BS_INVENTORIES","FQ2 2003","FQ2 2003","Currency=USD","Period=FQ","BEST_FPERIOD_OVERRIDE=FQ","FILING_STATUS=OR","SCALING_FORMAT=MLN","Sort=A","Dates=H","DateFormat=P","Fill=—","Direction=H","UseDPDF=Y")</f>
        <v>178.107</v>
      </c>
      <c r="U12" s="13">
        <f>_xll.BDH("AMZN US Equity","BS_INVENTORIES","FQ3 2003","FQ3 2003","Currency=USD","Period=FQ","BEST_FPERIOD_OVERRIDE=FQ","FILING_STATUS=OR","SCALING_FORMAT=MLN","Sort=A","Dates=H","DateFormat=P","Fill=—","Direction=H","UseDPDF=Y")</f>
        <v>241.667</v>
      </c>
      <c r="V12" s="13">
        <f>_xll.BDH("AMZN US Equity","BS_INVENTORIES","FQ4 2003","FQ4 2003","Currency=USD","Period=FQ","BEST_FPERIOD_OVERRIDE=FQ","FILING_STATUS=OR","SCALING_FORMAT=MLN","Sort=A","Dates=H","DateFormat=P","Fill=—","Direction=H","UseDPDF=Y")</f>
        <v>293.91699999999997</v>
      </c>
      <c r="W12" s="13">
        <f>_xll.BDH("AMZN US Equity","BS_INVENTORIES","FQ1 2004","FQ1 2004","Currency=USD","Period=FQ","BEST_FPERIOD_OVERRIDE=FQ","FILING_STATUS=OR","SCALING_FORMAT=MLN","Sort=A","Dates=H","DateFormat=P","Fill=—","Direction=H","UseDPDF=Y")</f>
        <v>281.55</v>
      </c>
      <c r="X12" s="13">
        <f>_xll.BDH("AMZN US Equity","BS_INVENTORIES","FQ2 2004","FQ2 2004","Currency=USD","Period=FQ","BEST_FPERIOD_OVERRIDE=FQ","FILING_STATUS=OR","SCALING_FORMAT=MLN","Sort=A","Dates=H","DateFormat=P","Fill=—","Direction=H","UseDPDF=Y")</f>
        <v>284.19400000000002</v>
      </c>
      <c r="Y12" s="13">
        <f>_xll.BDH("AMZN US Equity","BS_INVENTORIES","FQ3 2004","FQ3 2004","Currency=USD","Period=FQ","BEST_FPERIOD_OVERRIDE=FQ","FILING_STATUS=OR","SCALING_FORMAT=MLN","Sort=A","Dates=H","DateFormat=P","Fill=—","Direction=H","UseDPDF=Y")</f>
        <v>357.32</v>
      </c>
      <c r="Z12" s="13">
        <f>_xll.BDH("AMZN US Equity","BS_INVENTORIES","FQ4 2004","FQ4 2004","Currency=USD","Period=FQ","BEST_FPERIOD_OVERRIDE=FQ","FILING_STATUS=OR","SCALING_FORMAT=MLN","Sort=A","Dates=H","DateFormat=P","Fill=—","Direction=H","UseDPDF=Y")</f>
        <v>479.709</v>
      </c>
      <c r="AA12" s="13">
        <f>_xll.BDH("AMZN US Equity","BS_INVENTORIES","FQ1 2005","FQ1 2005","Currency=USD","Period=FQ","BEST_FPERIOD_OVERRIDE=FQ","FILING_STATUS=OR","SCALING_FORMAT=MLN","Sort=A","Dates=H","DateFormat=P","Fill=—","Direction=H","UseDPDF=Y")</f>
        <v>403</v>
      </c>
      <c r="AB12" s="13">
        <f>_xll.BDH("AMZN US Equity","BS_INVENTORIES","FQ2 2005","FQ2 2005","Currency=USD","Period=FQ","BEST_FPERIOD_OVERRIDE=FQ","FILING_STATUS=OR","SCALING_FORMAT=MLN","Sort=A","Dates=H","DateFormat=P","Fill=—","Direction=H","UseDPDF=Y")</f>
        <v>383</v>
      </c>
      <c r="AC12" s="13">
        <f>_xll.BDH("AMZN US Equity","BS_INVENTORIES","FQ3 2005","FQ3 2005","Currency=USD","Period=FQ","BEST_FPERIOD_OVERRIDE=FQ","FILING_STATUS=OR","SCALING_FORMAT=MLN","Sort=A","Dates=H","DateFormat=P","Fill=—","Direction=H","UseDPDF=Y")</f>
        <v>456</v>
      </c>
      <c r="AD12" s="13">
        <f>_xll.BDH("AMZN US Equity","BS_INVENTORIES","FQ4 2005","FQ4 2005","Currency=USD","Period=FQ","BEST_FPERIOD_OVERRIDE=FQ","FILING_STATUS=OR","SCALING_FORMAT=MLN","Sort=A","Dates=H","DateFormat=P","Fill=—","Direction=H","UseDPDF=Y")</f>
        <v>566</v>
      </c>
      <c r="AE12" s="13">
        <f>_xll.BDH("AMZN US Equity","BS_INVENTORIES","FQ1 2006","FQ1 2006","Currency=USD","Period=FQ","BEST_FPERIOD_OVERRIDE=FQ","FILING_STATUS=OR","SCALING_FORMAT=MLN","Sort=A","Dates=H","DateFormat=P","Fill=—","Direction=H","UseDPDF=Y")</f>
        <v>538</v>
      </c>
      <c r="AF12" s="13">
        <f>_xll.BDH("AMZN US Equity","BS_INVENTORIES","FQ2 2006","FQ2 2006","Currency=USD","Period=FQ","BEST_FPERIOD_OVERRIDE=FQ","FILING_STATUS=OR","SCALING_FORMAT=MLN","Sort=A","Dates=H","DateFormat=P","Fill=—","Direction=H","UseDPDF=Y")</f>
        <v>521</v>
      </c>
      <c r="AG12" s="13">
        <f>_xll.BDH("AMZN US Equity","BS_INVENTORIES","FQ3 2006","FQ3 2006","Currency=USD","Period=FQ","BEST_FPERIOD_OVERRIDE=FQ","FILING_STATUS=OR","SCALING_FORMAT=MLN","Sort=A","Dates=H","DateFormat=P","Fill=—","Direction=H","UseDPDF=Y")</f>
        <v>736</v>
      </c>
      <c r="AH12" s="13">
        <f>_xll.BDH("AMZN US Equity","BS_INVENTORIES","FQ4 2006","FQ4 2006","Currency=USD","Period=FQ","BEST_FPERIOD_OVERRIDE=FQ","FILING_STATUS=OR","SCALING_FORMAT=MLN","Sort=A","Dates=H","DateFormat=P","Fill=—","Direction=H","UseDPDF=Y")</f>
        <v>877</v>
      </c>
      <c r="AI12" s="13">
        <f>_xll.BDH("AMZN US Equity","BS_INVENTORIES","FQ1 2007","FQ1 2007","Currency=USD","Period=FQ","BEST_FPERIOD_OVERRIDE=FQ","FILING_STATUS=OR","SCALING_FORMAT=MLN","Sort=A","Dates=H","DateFormat=P","Fill=—","Direction=H","UseDPDF=Y")</f>
        <v>754</v>
      </c>
      <c r="AJ12" s="13">
        <f>_xll.BDH("AMZN US Equity","BS_INVENTORIES","FQ2 2007","FQ2 2007","Currency=USD","Period=FQ","BEST_FPERIOD_OVERRIDE=FQ","FILING_STATUS=OR","SCALING_FORMAT=MLN","Sort=A","Dates=H","DateFormat=P","Fill=—","Direction=H","UseDPDF=Y")</f>
        <v>735</v>
      </c>
      <c r="AK12" s="13">
        <f>_xll.BDH("AMZN US Equity","BS_INVENTORIES","FQ3 2007","FQ3 2007","Currency=USD","Period=FQ","BEST_FPERIOD_OVERRIDE=FQ","FILING_STATUS=OR","SCALING_FORMAT=MLN","Sort=A","Dates=H","DateFormat=P","Fill=—","Direction=H","UseDPDF=Y")</f>
        <v>970</v>
      </c>
      <c r="AL12" s="13">
        <f>_xll.BDH("AMZN US Equity","BS_INVENTORIES","FQ4 2007","FQ4 2007","Currency=USD","Period=FQ","BEST_FPERIOD_OVERRIDE=FQ","FILING_STATUS=OR","SCALING_FORMAT=MLN","Sort=A","Dates=H","DateFormat=P","Fill=—","Direction=H","UseDPDF=Y")</f>
        <v>1200</v>
      </c>
      <c r="AM12" s="13">
        <f>_xll.BDH("AMZN US Equity","BS_INVENTORIES","FQ1 2008","FQ1 2008","Currency=USD","Period=FQ","BEST_FPERIOD_OVERRIDE=FQ","FILING_STATUS=OR","SCALING_FORMAT=MLN","Sort=A","Dates=H","DateFormat=P","Fill=—","Direction=H","UseDPDF=Y")</f>
        <v>1077</v>
      </c>
      <c r="AN12" s="13">
        <f>_xll.BDH("AMZN US Equity","BS_INVENTORIES","FQ2 2008","FQ2 2008","Currency=USD","Period=FQ","BEST_FPERIOD_OVERRIDE=FQ","FILING_STATUS=OR","SCALING_FORMAT=MLN","Sort=A","Dates=H","DateFormat=P","Fill=—","Direction=H","UseDPDF=Y")</f>
        <v>1107</v>
      </c>
      <c r="AO12" s="13">
        <f>_xll.BDH("AMZN US Equity","BS_INVENTORIES","FQ3 2008","FQ3 2008","Currency=USD","Period=FQ","BEST_FPERIOD_OVERRIDE=FQ","FILING_STATUS=OR","SCALING_FORMAT=MLN","Sort=A","Dates=H","DateFormat=P","Fill=—","Direction=H","UseDPDF=Y")</f>
        <v>1315</v>
      </c>
      <c r="AP12" s="13">
        <f>_xll.BDH("AMZN US Equity","BS_INVENTORIES","FQ4 2008","FQ4 2008","Currency=USD","Period=FQ","BEST_FPERIOD_OVERRIDE=FQ","FILING_STATUS=OR","SCALING_FORMAT=MLN","Sort=A","Dates=H","DateFormat=P","Fill=—","Direction=H","UseDPDF=Y")</f>
        <v>1399</v>
      </c>
    </row>
    <row r="13" spans="1:42" x14ac:dyDescent="0.25">
      <c r="A13" s="10" t="s">
        <v>192</v>
      </c>
      <c r="B13" s="10" t="s">
        <v>193</v>
      </c>
      <c r="C13" s="13">
        <f>_xll.BDH("AMZN US Equity","INVTRY_RAW_MATERIALS","FQ4 1998","FQ4 1998","Currency=USD","Period=FQ","BEST_FPERIOD_OVERRIDE=FQ","FILING_STATUS=OR","SCALING_FORMAT=MLN","Sort=A","Dates=H","DateFormat=P","Fill=—","Direction=H","UseDPDF=Y")</f>
        <v>0</v>
      </c>
      <c r="D13" s="13">
        <f>_xll.BDH("AMZN US Equity","INVTRY_RAW_MATERIALS","FQ1 1999","FQ1 1999","Currency=USD","Period=FQ","BEST_FPERIOD_OVERRIDE=FQ","FILING_STATUS=OR","SCALING_FORMAT=MLN","Sort=A","Dates=H","DateFormat=P","Fill=—","Direction=H","UseDPDF=Y")</f>
        <v>0</v>
      </c>
      <c r="E13" s="13">
        <f>_xll.BDH("AMZN US Equity","INVTRY_RAW_MATERIALS","FQ2 1999","FQ2 1999","Currency=USD","Period=FQ","BEST_FPERIOD_OVERRIDE=FQ","FILING_STATUS=OR","SCALING_FORMAT=MLN","Sort=A","Dates=H","DateFormat=P","Fill=—","Direction=H","UseDPDF=Y")</f>
        <v>0</v>
      </c>
      <c r="F13" s="13">
        <f>_xll.BDH("AMZN US Equity","INVTRY_RAW_MATERIALS","FQ3 1999","FQ3 1999","Currency=USD","Period=FQ","BEST_FPERIOD_OVERRIDE=FQ","FILING_STATUS=OR","SCALING_FORMAT=MLN","Sort=A","Dates=H","DateFormat=P","Fill=—","Direction=H","UseDPDF=Y")</f>
        <v>0</v>
      </c>
      <c r="G13" s="13">
        <f>_xll.BDH("AMZN US Equity","INVTRY_RAW_MATERIALS","FQ4 1999","FQ4 1999","Currency=USD","Period=FQ","BEST_FPERIOD_OVERRIDE=FQ","FILING_STATUS=OR","SCALING_FORMAT=MLN","Sort=A","Dates=H","DateFormat=P","Fill=—","Direction=H","UseDPDF=Y")</f>
        <v>0</v>
      </c>
      <c r="H13" s="13">
        <f>_xll.BDH("AMZN US Equity","INVTRY_RAW_MATERIALS","FQ1 2000","FQ1 2000","Currency=USD","Period=FQ","BEST_FPERIOD_OVERRIDE=FQ","FILING_STATUS=OR","SCALING_FORMAT=MLN","Sort=A","Dates=H","DateFormat=P","Fill=—","Direction=H","UseDPDF=Y")</f>
        <v>0</v>
      </c>
      <c r="I13" s="13">
        <f>_xll.BDH("AMZN US Equity","INVTRY_RAW_MATERIALS","FQ3 2000","FQ3 2000","Currency=USD","Period=FQ","BEST_FPERIOD_OVERRIDE=FQ","FILING_STATUS=OR","SCALING_FORMAT=MLN","Sort=A","Dates=H","DateFormat=P","Fill=—","Direction=H","UseDPDF=Y")</f>
        <v>0</v>
      </c>
      <c r="J13" s="13">
        <f>_xll.BDH("AMZN US Equity","INVTRY_RAW_MATERIALS","FQ4 2000","FQ4 2000","Currency=USD","Period=FQ","BEST_FPERIOD_OVERRIDE=FQ","FILING_STATUS=OR","SCALING_FORMAT=MLN","Sort=A","Dates=H","DateFormat=P","Fill=—","Direction=H","UseDPDF=Y")</f>
        <v>0</v>
      </c>
      <c r="K13" s="13">
        <f>_xll.BDH("AMZN US Equity","INVTRY_RAW_MATERIALS","FQ1 2001","FQ1 2001","Currency=USD","Period=FQ","BEST_FPERIOD_OVERRIDE=FQ","FILING_STATUS=OR","SCALING_FORMAT=MLN","Sort=A","Dates=H","DateFormat=P","Fill=—","Direction=H","UseDPDF=Y")</f>
        <v>0</v>
      </c>
      <c r="L13" s="13">
        <f>_xll.BDH("AMZN US Equity","INVTRY_RAW_MATERIALS","FQ2 2001","FQ2 2001","Currency=USD","Period=FQ","BEST_FPERIOD_OVERRIDE=FQ","FILING_STATUS=OR","SCALING_FORMAT=MLN","Sort=A","Dates=H","DateFormat=P","Fill=—","Direction=H","UseDPDF=Y")</f>
        <v>0</v>
      </c>
      <c r="M13" s="13">
        <f>_xll.BDH("AMZN US Equity","INVTRY_RAW_MATERIALS","FQ3 2001","FQ3 2001","Currency=USD","Period=FQ","BEST_FPERIOD_OVERRIDE=FQ","FILING_STATUS=OR","SCALING_FORMAT=MLN","Sort=A","Dates=H","DateFormat=P","Fill=—","Direction=H","UseDPDF=Y")</f>
        <v>0</v>
      </c>
      <c r="N13" s="13">
        <f>_xll.BDH("AMZN US Equity","INVTRY_RAW_MATERIALS","FQ4 2001","FQ4 2001","Currency=USD","Period=FQ","BEST_FPERIOD_OVERRIDE=FQ","FILING_STATUS=OR","SCALING_FORMAT=MLN","Sort=A","Dates=H","DateFormat=P","Fill=—","Direction=H","UseDPDF=Y")</f>
        <v>0</v>
      </c>
      <c r="O13" s="13">
        <f>_xll.BDH("AMZN US Equity","INVTRY_RAW_MATERIALS","FQ1 2002","FQ1 2002","Currency=USD","Period=FQ","BEST_FPERIOD_OVERRIDE=FQ","FILING_STATUS=OR","SCALING_FORMAT=MLN","Sort=A","Dates=H","DateFormat=P","Fill=—","Direction=H","UseDPDF=Y")</f>
        <v>0</v>
      </c>
      <c r="P13" s="13">
        <f>_xll.BDH("AMZN US Equity","INVTRY_RAW_MATERIALS","FQ2 2002","FQ2 2002","Currency=USD","Period=FQ","BEST_FPERIOD_OVERRIDE=FQ","FILING_STATUS=OR","SCALING_FORMAT=MLN","Sort=A","Dates=H","DateFormat=P","Fill=—","Direction=H","UseDPDF=Y")</f>
        <v>0</v>
      </c>
      <c r="Q13" s="13">
        <f>_xll.BDH("AMZN US Equity","INVTRY_RAW_MATERIALS","FQ3 2002","FQ3 2002","Currency=USD","Period=FQ","BEST_FPERIOD_OVERRIDE=FQ","FILING_STATUS=OR","SCALING_FORMAT=MLN","Sort=A","Dates=H","DateFormat=P","Fill=—","Direction=H","UseDPDF=Y")</f>
        <v>0</v>
      </c>
      <c r="R13" s="13">
        <f>_xll.BDH("AMZN US Equity","INVTRY_RAW_MATERIALS","FQ4 2002","FQ4 2002","Currency=USD","Period=FQ","BEST_FPERIOD_OVERRIDE=FQ","FILING_STATUS=OR","SCALING_FORMAT=MLN","Sort=A","Dates=H","DateFormat=P","Fill=—","Direction=H","UseDPDF=Y")</f>
        <v>0</v>
      </c>
      <c r="S13" s="13">
        <f>_xll.BDH("AMZN US Equity","INVTRY_RAW_MATERIALS","FQ1 2003","FQ1 2003","Currency=USD","Period=FQ","BEST_FPERIOD_OVERRIDE=FQ","FILING_STATUS=OR","SCALING_FORMAT=MLN","Sort=A","Dates=H","DateFormat=P","Fill=—","Direction=H","UseDPDF=Y")</f>
        <v>0</v>
      </c>
      <c r="T13" s="13">
        <f>_xll.BDH("AMZN US Equity","INVTRY_RAW_MATERIALS","FQ2 2003","FQ2 2003","Currency=USD","Period=FQ","BEST_FPERIOD_OVERRIDE=FQ","FILING_STATUS=OR","SCALING_FORMAT=MLN","Sort=A","Dates=H","DateFormat=P","Fill=—","Direction=H","UseDPDF=Y")</f>
        <v>0</v>
      </c>
      <c r="U13" s="13">
        <f>_xll.BDH("AMZN US Equity","INVTRY_RAW_MATERIALS","FQ3 2003","FQ3 2003","Currency=USD","Period=FQ","BEST_FPERIOD_OVERRIDE=FQ","FILING_STATUS=OR","SCALING_FORMAT=MLN","Sort=A","Dates=H","DateFormat=P","Fill=—","Direction=H","UseDPDF=Y")</f>
        <v>0</v>
      </c>
      <c r="V13" s="13">
        <f>_xll.BDH("AMZN US Equity","INVTRY_RAW_MATERIALS","FQ4 2003","FQ4 2003","Currency=USD","Period=FQ","BEST_FPERIOD_OVERRIDE=FQ","FILING_STATUS=OR","SCALING_FORMAT=MLN","Sort=A","Dates=H","DateFormat=P","Fill=—","Direction=H","UseDPDF=Y")</f>
        <v>0</v>
      </c>
      <c r="W13" s="13">
        <f>_xll.BDH("AMZN US Equity","INVTRY_RAW_MATERIALS","FQ1 2004","FQ1 2004","Currency=USD","Period=FQ","BEST_FPERIOD_OVERRIDE=FQ","FILING_STATUS=OR","SCALING_FORMAT=MLN","Sort=A","Dates=H","DateFormat=P","Fill=—","Direction=H","UseDPDF=Y")</f>
        <v>0</v>
      </c>
      <c r="X13" s="13">
        <f>_xll.BDH("AMZN US Equity","INVTRY_RAW_MATERIALS","FQ2 2004","FQ2 2004","Currency=USD","Period=FQ","BEST_FPERIOD_OVERRIDE=FQ","FILING_STATUS=OR","SCALING_FORMAT=MLN","Sort=A","Dates=H","DateFormat=P","Fill=—","Direction=H","UseDPDF=Y")</f>
        <v>0</v>
      </c>
      <c r="Y13" s="13">
        <f>_xll.BDH("AMZN US Equity","INVTRY_RAW_MATERIALS","FQ3 2004","FQ3 2004","Currency=USD","Period=FQ","BEST_FPERIOD_OVERRIDE=FQ","FILING_STATUS=OR","SCALING_FORMAT=MLN","Sort=A","Dates=H","DateFormat=P","Fill=—","Direction=H","UseDPDF=Y")</f>
        <v>0</v>
      </c>
      <c r="Z13" s="13">
        <f>_xll.BDH("AMZN US Equity","INVTRY_RAW_MATERIALS","FQ4 2004","FQ4 2004","Currency=USD","Period=FQ","BEST_FPERIOD_OVERRIDE=FQ","FILING_STATUS=OR","SCALING_FORMAT=MLN","Sort=A","Dates=H","DateFormat=P","Fill=—","Direction=H","UseDPDF=Y")</f>
        <v>0</v>
      </c>
      <c r="AA13" s="13">
        <f>_xll.BDH("AMZN US Equity","INVTRY_RAW_MATERIALS","FQ1 2005","FQ1 2005","Currency=USD","Period=FQ","BEST_FPERIOD_OVERRIDE=FQ","FILING_STATUS=OR","SCALING_FORMAT=MLN","Sort=A","Dates=H","DateFormat=P","Fill=—","Direction=H","UseDPDF=Y")</f>
        <v>0</v>
      </c>
      <c r="AB13" s="13">
        <f>_xll.BDH("AMZN US Equity","INVTRY_RAW_MATERIALS","FQ2 2005","FQ2 2005","Currency=USD","Period=FQ","BEST_FPERIOD_OVERRIDE=FQ","FILING_STATUS=OR","SCALING_FORMAT=MLN","Sort=A","Dates=H","DateFormat=P","Fill=—","Direction=H","UseDPDF=Y")</f>
        <v>0</v>
      </c>
      <c r="AC13" s="13">
        <f>_xll.BDH("AMZN US Equity","INVTRY_RAW_MATERIALS","FQ3 2005","FQ3 2005","Currency=USD","Period=FQ","BEST_FPERIOD_OVERRIDE=FQ","FILING_STATUS=OR","SCALING_FORMAT=MLN","Sort=A","Dates=H","DateFormat=P","Fill=—","Direction=H","UseDPDF=Y")</f>
        <v>0</v>
      </c>
      <c r="AD13" s="13">
        <f>_xll.BDH("AMZN US Equity","INVTRY_RAW_MATERIALS","FQ4 2005","FQ4 2005","Currency=USD","Period=FQ","BEST_FPERIOD_OVERRIDE=FQ","FILING_STATUS=OR","SCALING_FORMAT=MLN","Sort=A","Dates=H","DateFormat=P","Fill=—","Direction=H","UseDPDF=Y")</f>
        <v>0</v>
      </c>
      <c r="AE13" s="13">
        <f>_xll.BDH("AMZN US Equity","INVTRY_RAW_MATERIALS","FQ1 2006","FQ1 2006","Currency=USD","Period=FQ","BEST_FPERIOD_OVERRIDE=FQ","FILING_STATUS=OR","SCALING_FORMAT=MLN","Sort=A","Dates=H","DateFormat=P","Fill=—","Direction=H","UseDPDF=Y")</f>
        <v>0</v>
      </c>
      <c r="AF13" s="13">
        <f>_xll.BDH("AMZN US Equity","INVTRY_RAW_MATERIALS","FQ2 2006","FQ2 2006","Currency=USD","Period=FQ","BEST_FPERIOD_OVERRIDE=FQ","FILING_STATUS=OR","SCALING_FORMAT=MLN","Sort=A","Dates=H","DateFormat=P","Fill=—","Direction=H","UseDPDF=Y")</f>
        <v>0</v>
      </c>
      <c r="AG13" s="13">
        <f>_xll.BDH("AMZN US Equity","INVTRY_RAW_MATERIALS","FQ3 2006","FQ3 2006","Currency=USD","Period=FQ","BEST_FPERIOD_OVERRIDE=FQ","FILING_STATUS=OR","SCALING_FORMAT=MLN","Sort=A","Dates=H","DateFormat=P","Fill=—","Direction=H","UseDPDF=Y")</f>
        <v>0</v>
      </c>
      <c r="AH13" s="13">
        <f>_xll.BDH("AMZN US Equity","INVTRY_RAW_MATERIALS","FQ4 2006","FQ4 2006","Currency=USD","Period=FQ","BEST_FPERIOD_OVERRIDE=FQ","FILING_STATUS=OR","SCALING_FORMAT=MLN","Sort=A","Dates=H","DateFormat=P","Fill=—","Direction=H","UseDPDF=Y")</f>
        <v>0</v>
      </c>
      <c r="AI13" s="13">
        <f>_xll.BDH("AMZN US Equity","INVTRY_RAW_MATERIALS","FQ1 2007","FQ1 2007","Currency=USD","Period=FQ","BEST_FPERIOD_OVERRIDE=FQ","FILING_STATUS=OR","SCALING_FORMAT=MLN","Sort=A","Dates=H","DateFormat=P","Fill=—","Direction=H","UseDPDF=Y")</f>
        <v>0</v>
      </c>
      <c r="AJ13" s="13">
        <f>_xll.BDH("AMZN US Equity","INVTRY_RAW_MATERIALS","FQ2 2007","FQ2 2007","Currency=USD","Period=FQ","BEST_FPERIOD_OVERRIDE=FQ","FILING_STATUS=OR","SCALING_FORMAT=MLN","Sort=A","Dates=H","DateFormat=P","Fill=—","Direction=H","UseDPDF=Y")</f>
        <v>0</v>
      </c>
      <c r="AK13" s="13">
        <f>_xll.BDH("AMZN US Equity","INVTRY_RAW_MATERIALS","FQ3 2007","FQ3 2007","Currency=USD","Period=FQ","BEST_FPERIOD_OVERRIDE=FQ","FILING_STATUS=OR","SCALING_FORMAT=MLN","Sort=A","Dates=H","DateFormat=P","Fill=—","Direction=H","UseDPDF=Y")</f>
        <v>0</v>
      </c>
      <c r="AL13" s="13" t="str">
        <f>_xll.BDH("AMZN US Equity","INVTRY_RAW_MATERIALS","FQ4 2007","FQ4 2007","Currency=USD","Period=FQ","BEST_FPERIOD_OVERRIDE=FQ","FILING_STATUS=OR","SCALING_FORMAT=MLN","Sort=A","Dates=H","DateFormat=P","Fill=—","Direction=H","UseDPDF=Y")</f>
        <v>—</v>
      </c>
      <c r="AM13" s="13">
        <f>_xll.BDH("AMZN US Equity","INVTRY_RAW_MATERIALS","FQ1 2008","FQ1 2008","Currency=USD","Period=FQ","BEST_FPERIOD_OVERRIDE=FQ","FILING_STATUS=OR","SCALING_FORMAT=MLN","Sort=A","Dates=H","DateFormat=P","Fill=—","Direction=H","UseDPDF=Y")</f>
        <v>0</v>
      </c>
      <c r="AN13" s="13">
        <f>_xll.BDH("AMZN US Equity","INVTRY_RAW_MATERIALS","FQ2 2008","FQ2 2008","Currency=USD","Period=FQ","BEST_FPERIOD_OVERRIDE=FQ","FILING_STATUS=OR","SCALING_FORMAT=MLN","Sort=A","Dates=H","DateFormat=P","Fill=—","Direction=H","UseDPDF=Y")</f>
        <v>0</v>
      </c>
      <c r="AO13" s="13">
        <f>_xll.BDH("AMZN US Equity","INVTRY_RAW_MATERIALS","FQ3 2008","FQ3 2008","Currency=USD","Period=FQ","BEST_FPERIOD_OVERRIDE=FQ","FILING_STATUS=OR","SCALING_FORMAT=MLN","Sort=A","Dates=H","DateFormat=P","Fill=—","Direction=H","UseDPDF=Y")</f>
        <v>0</v>
      </c>
      <c r="AP13" s="13" t="str">
        <f>_xll.BDH("AMZN US Equity","INVTRY_RAW_MATERIALS","FQ4 2008","FQ4 2008","Currency=USD","Period=FQ","BEST_FPERIOD_OVERRIDE=FQ","FILING_STATUS=OR","SCALING_FORMAT=MLN","Sort=A","Dates=H","DateFormat=P","Fill=—","Direction=H","UseDPDF=Y")</f>
        <v>—</v>
      </c>
    </row>
    <row r="14" spans="1:42" x14ac:dyDescent="0.25">
      <c r="A14" s="10" t="s">
        <v>194</v>
      </c>
      <c r="B14" s="10" t="s">
        <v>195</v>
      </c>
      <c r="C14" s="13">
        <f>_xll.BDH("AMZN US Equity","INVTRY_IN_PROGRESS","FQ4 1998","FQ4 1998","Currency=USD","Period=FQ","BEST_FPERIOD_OVERRIDE=FQ","FILING_STATUS=OR","SCALING_FORMAT=MLN","Sort=A","Dates=H","DateFormat=P","Fill=—","Direction=H","UseDPDF=Y")</f>
        <v>0</v>
      </c>
      <c r="D14" s="13">
        <f>_xll.BDH("AMZN US Equity","INVTRY_IN_PROGRESS","FQ1 1999","FQ1 1999","Currency=USD","Period=FQ","BEST_FPERIOD_OVERRIDE=FQ","FILING_STATUS=OR","SCALING_FORMAT=MLN","Sort=A","Dates=H","DateFormat=P","Fill=—","Direction=H","UseDPDF=Y")</f>
        <v>0</v>
      </c>
      <c r="E14" s="13">
        <f>_xll.BDH("AMZN US Equity","INVTRY_IN_PROGRESS","FQ2 1999","FQ2 1999","Currency=USD","Period=FQ","BEST_FPERIOD_OVERRIDE=FQ","FILING_STATUS=OR","SCALING_FORMAT=MLN","Sort=A","Dates=H","DateFormat=P","Fill=—","Direction=H","UseDPDF=Y")</f>
        <v>0</v>
      </c>
      <c r="F14" s="13">
        <f>_xll.BDH("AMZN US Equity","INVTRY_IN_PROGRESS","FQ3 1999","FQ3 1999","Currency=USD","Period=FQ","BEST_FPERIOD_OVERRIDE=FQ","FILING_STATUS=OR","SCALING_FORMAT=MLN","Sort=A","Dates=H","DateFormat=P","Fill=—","Direction=H","UseDPDF=Y")</f>
        <v>0</v>
      </c>
      <c r="G14" s="13">
        <f>_xll.BDH("AMZN US Equity","INVTRY_IN_PROGRESS","FQ4 1999","FQ4 1999","Currency=USD","Period=FQ","BEST_FPERIOD_OVERRIDE=FQ","FILING_STATUS=OR","SCALING_FORMAT=MLN","Sort=A","Dates=H","DateFormat=P","Fill=—","Direction=H","UseDPDF=Y")</f>
        <v>0</v>
      </c>
      <c r="H14" s="13">
        <f>_xll.BDH("AMZN US Equity","INVTRY_IN_PROGRESS","FQ1 2000","FQ1 2000","Currency=USD","Period=FQ","BEST_FPERIOD_OVERRIDE=FQ","FILING_STATUS=OR","SCALING_FORMAT=MLN","Sort=A","Dates=H","DateFormat=P","Fill=—","Direction=H","UseDPDF=Y")</f>
        <v>0</v>
      </c>
      <c r="I14" s="13">
        <f>_xll.BDH("AMZN US Equity","INVTRY_IN_PROGRESS","FQ3 2000","FQ3 2000","Currency=USD","Period=FQ","BEST_FPERIOD_OVERRIDE=FQ","FILING_STATUS=OR","SCALING_FORMAT=MLN","Sort=A","Dates=H","DateFormat=P","Fill=—","Direction=H","UseDPDF=Y")</f>
        <v>0</v>
      </c>
      <c r="J14" s="13">
        <f>_xll.BDH("AMZN US Equity","INVTRY_IN_PROGRESS","FQ4 2000","FQ4 2000","Currency=USD","Period=FQ","BEST_FPERIOD_OVERRIDE=FQ","FILING_STATUS=OR","SCALING_FORMAT=MLN","Sort=A","Dates=H","DateFormat=P","Fill=—","Direction=H","UseDPDF=Y")</f>
        <v>0</v>
      </c>
      <c r="K14" s="13">
        <f>_xll.BDH("AMZN US Equity","INVTRY_IN_PROGRESS","FQ1 2001","FQ1 2001","Currency=USD","Period=FQ","BEST_FPERIOD_OVERRIDE=FQ","FILING_STATUS=OR","SCALING_FORMAT=MLN","Sort=A","Dates=H","DateFormat=P","Fill=—","Direction=H","UseDPDF=Y")</f>
        <v>0</v>
      </c>
      <c r="L14" s="13">
        <f>_xll.BDH("AMZN US Equity","INVTRY_IN_PROGRESS","FQ2 2001","FQ2 2001","Currency=USD","Period=FQ","BEST_FPERIOD_OVERRIDE=FQ","FILING_STATUS=OR","SCALING_FORMAT=MLN","Sort=A","Dates=H","DateFormat=P","Fill=—","Direction=H","UseDPDF=Y")</f>
        <v>0</v>
      </c>
      <c r="M14" s="13">
        <f>_xll.BDH("AMZN US Equity","INVTRY_IN_PROGRESS","FQ3 2001","FQ3 2001","Currency=USD","Period=FQ","BEST_FPERIOD_OVERRIDE=FQ","FILING_STATUS=OR","SCALING_FORMAT=MLN","Sort=A","Dates=H","DateFormat=P","Fill=—","Direction=H","UseDPDF=Y")</f>
        <v>0</v>
      </c>
      <c r="N14" s="13">
        <f>_xll.BDH("AMZN US Equity","INVTRY_IN_PROGRESS","FQ4 2001","FQ4 2001","Currency=USD","Period=FQ","BEST_FPERIOD_OVERRIDE=FQ","FILING_STATUS=OR","SCALING_FORMAT=MLN","Sort=A","Dates=H","DateFormat=P","Fill=—","Direction=H","UseDPDF=Y")</f>
        <v>0</v>
      </c>
      <c r="O14" s="13">
        <f>_xll.BDH("AMZN US Equity","INVTRY_IN_PROGRESS","FQ1 2002","FQ1 2002","Currency=USD","Period=FQ","BEST_FPERIOD_OVERRIDE=FQ","FILING_STATUS=OR","SCALING_FORMAT=MLN","Sort=A","Dates=H","DateFormat=P","Fill=—","Direction=H","UseDPDF=Y")</f>
        <v>0</v>
      </c>
      <c r="P14" s="13">
        <f>_xll.BDH("AMZN US Equity","INVTRY_IN_PROGRESS","FQ2 2002","FQ2 2002","Currency=USD","Period=FQ","BEST_FPERIOD_OVERRIDE=FQ","FILING_STATUS=OR","SCALING_FORMAT=MLN","Sort=A","Dates=H","DateFormat=P","Fill=—","Direction=H","UseDPDF=Y")</f>
        <v>0</v>
      </c>
      <c r="Q14" s="13">
        <f>_xll.BDH("AMZN US Equity","INVTRY_IN_PROGRESS","FQ3 2002","FQ3 2002","Currency=USD","Period=FQ","BEST_FPERIOD_OVERRIDE=FQ","FILING_STATUS=OR","SCALING_FORMAT=MLN","Sort=A","Dates=H","DateFormat=P","Fill=—","Direction=H","UseDPDF=Y")</f>
        <v>0</v>
      </c>
      <c r="R14" s="13">
        <f>_xll.BDH("AMZN US Equity","INVTRY_IN_PROGRESS","FQ4 2002","FQ4 2002","Currency=USD","Period=FQ","BEST_FPERIOD_OVERRIDE=FQ","FILING_STATUS=OR","SCALING_FORMAT=MLN","Sort=A","Dates=H","DateFormat=P","Fill=—","Direction=H","UseDPDF=Y")</f>
        <v>0</v>
      </c>
      <c r="S14" s="13">
        <f>_xll.BDH("AMZN US Equity","INVTRY_IN_PROGRESS","FQ1 2003","FQ1 2003","Currency=USD","Period=FQ","BEST_FPERIOD_OVERRIDE=FQ","FILING_STATUS=OR","SCALING_FORMAT=MLN","Sort=A","Dates=H","DateFormat=P","Fill=—","Direction=H","UseDPDF=Y")</f>
        <v>0</v>
      </c>
      <c r="T14" s="13">
        <f>_xll.BDH("AMZN US Equity","INVTRY_IN_PROGRESS","FQ2 2003","FQ2 2003","Currency=USD","Period=FQ","BEST_FPERIOD_OVERRIDE=FQ","FILING_STATUS=OR","SCALING_FORMAT=MLN","Sort=A","Dates=H","DateFormat=P","Fill=—","Direction=H","UseDPDF=Y")</f>
        <v>0</v>
      </c>
      <c r="U14" s="13">
        <f>_xll.BDH("AMZN US Equity","INVTRY_IN_PROGRESS","FQ3 2003","FQ3 2003","Currency=USD","Period=FQ","BEST_FPERIOD_OVERRIDE=FQ","FILING_STATUS=OR","SCALING_FORMAT=MLN","Sort=A","Dates=H","DateFormat=P","Fill=—","Direction=H","UseDPDF=Y")</f>
        <v>0</v>
      </c>
      <c r="V14" s="13">
        <f>_xll.BDH("AMZN US Equity","INVTRY_IN_PROGRESS","FQ4 2003","FQ4 2003","Currency=USD","Period=FQ","BEST_FPERIOD_OVERRIDE=FQ","FILING_STATUS=OR","SCALING_FORMAT=MLN","Sort=A","Dates=H","DateFormat=P","Fill=—","Direction=H","UseDPDF=Y")</f>
        <v>0</v>
      </c>
      <c r="W14" s="13">
        <f>_xll.BDH("AMZN US Equity","INVTRY_IN_PROGRESS","FQ1 2004","FQ1 2004","Currency=USD","Period=FQ","BEST_FPERIOD_OVERRIDE=FQ","FILING_STATUS=OR","SCALING_FORMAT=MLN","Sort=A","Dates=H","DateFormat=P","Fill=—","Direction=H","UseDPDF=Y")</f>
        <v>0</v>
      </c>
      <c r="X14" s="13">
        <f>_xll.BDH("AMZN US Equity","INVTRY_IN_PROGRESS","FQ2 2004","FQ2 2004","Currency=USD","Period=FQ","BEST_FPERIOD_OVERRIDE=FQ","FILING_STATUS=OR","SCALING_FORMAT=MLN","Sort=A","Dates=H","DateFormat=P","Fill=—","Direction=H","UseDPDF=Y")</f>
        <v>0</v>
      </c>
      <c r="Y14" s="13">
        <f>_xll.BDH("AMZN US Equity","INVTRY_IN_PROGRESS","FQ3 2004","FQ3 2004","Currency=USD","Period=FQ","BEST_FPERIOD_OVERRIDE=FQ","FILING_STATUS=OR","SCALING_FORMAT=MLN","Sort=A","Dates=H","DateFormat=P","Fill=—","Direction=H","UseDPDF=Y")</f>
        <v>0</v>
      </c>
      <c r="Z14" s="13">
        <f>_xll.BDH("AMZN US Equity","INVTRY_IN_PROGRESS","FQ4 2004","FQ4 2004","Currency=USD","Period=FQ","BEST_FPERIOD_OVERRIDE=FQ","FILING_STATUS=OR","SCALING_FORMAT=MLN","Sort=A","Dates=H","DateFormat=P","Fill=—","Direction=H","UseDPDF=Y")</f>
        <v>0</v>
      </c>
      <c r="AA14" s="13">
        <f>_xll.BDH("AMZN US Equity","INVTRY_IN_PROGRESS","FQ1 2005","FQ1 2005","Currency=USD","Period=FQ","BEST_FPERIOD_OVERRIDE=FQ","FILING_STATUS=OR","SCALING_FORMAT=MLN","Sort=A","Dates=H","DateFormat=P","Fill=—","Direction=H","UseDPDF=Y")</f>
        <v>0</v>
      </c>
      <c r="AB14" s="13">
        <f>_xll.BDH("AMZN US Equity","INVTRY_IN_PROGRESS","FQ2 2005","FQ2 2005","Currency=USD","Period=FQ","BEST_FPERIOD_OVERRIDE=FQ","FILING_STATUS=OR","SCALING_FORMAT=MLN","Sort=A","Dates=H","DateFormat=P","Fill=—","Direction=H","UseDPDF=Y")</f>
        <v>0</v>
      </c>
      <c r="AC14" s="13">
        <f>_xll.BDH("AMZN US Equity","INVTRY_IN_PROGRESS","FQ3 2005","FQ3 2005","Currency=USD","Period=FQ","BEST_FPERIOD_OVERRIDE=FQ","FILING_STATUS=OR","SCALING_FORMAT=MLN","Sort=A","Dates=H","DateFormat=P","Fill=—","Direction=H","UseDPDF=Y")</f>
        <v>0</v>
      </c>
      <c r="AD14" s="13">
        <f>_xll.BDH("AMZN US Equity","INVTRY_IN_PROGRESS","FQ4 2005","FQ4 2005","Currency=USD","Period=FQ","BEST_FPERIOD_OVERRIDE=FQ","FILING_STATUS=OR","SCALING_FORMAT=MLN","Sort=A","Dates=H","DateFormat=P","Fill=—","Direction=H","UseDPDF=Y")</f>
        <v>0</v>
      </c>
      <c r="AE14" s="13">
        <f>_xll.BDH("AMZN US Equity","INVTRY_IN_PROGRESS","FQ1 2006","FQ1 2006","Currency=USD","Period=FQ","BEST_FPERIOD_OVERRIDE=FQ","FILING_STATUS=OR","SCALING_FORMAT=MLN","Sort=A","Dates=H","DateFormat=P","Fill=—","Direction=H","UseDPDF=Y")</f>
        <v>0</v>
      </c>
      <c r="AF14" s="13">
        <f>_xll.BDH("AMZN US Equity","INVTRY_IN_PROGRESS","FQ2 2006","FQ2 2006","Currency=USD","Period=FQ","BEST_FPERIOD_OVERRIDE=FQ","FILING_STATUS=OR","SCALING_FORMAT=MLN","Sort=A","Dates=H","DateFormat=P","Fill=—","Direction=H","UseDPDF=Y")</f>
        <v>0</v>
      </c>
      <c r="AG14" s="13">
        <f>_xll.BDH("AMZN US Equity","INVTRY_IN_PROGRESS","FQ3 2006","FQ3 2006","Currency=USD","Period=FQ","BEST_FPERIOD_OVERRIDE=FQ","FILING_STATUS=OR","SCALING_FORMAT=MLN","Sort=A","Dates=H","DateFormat=P","Fill=—","Direction=H","UseDPDF=Y")</f>
        <v>0</v>
      </c>
      <c r="AH14" s="13">
        <f>_xll.BDH("AMZN US Equity","INVTRY_IN_PROGRESS","FQ4 2006","FQ4 2006","Currency=USD","Period=FQ","BEST_FPERIOD_OVERRIDE=FQ","FILING_STATUS=OR","SCALING_FORMAT=MLN","Sort=A","Dates=H","DateFormat=P","Fill=—","Direction=H","UseDPDF=Y")</f>
        <v>0</v>
      </c>
      <c r="AI14" s="13">
        <f>_xll.BDH("AMZN US Equity","INVTRY_IN_PROGRESS","FQ1 2007","FQ1 2007","Currency=USD","Period=FQ","BEST_FPERIOD_OVERRIDE=FQ","FILING_STATUS=OR","SCALING_FORMAT=MLN","Sort=A","Dates=H","DateFormat=P","Fill=—","Direction=H","UseDPDF=Y")</f>
        <v>0</v>
      </c>
      <c r="AJ14" s="13">
        <f>_xll.BDH("AMZN US Equity","INVTRY_IN_PROGRESS","FQ2 2007","FQ2 2007","Currency=USD","Period=FQ","BEST_FPERIOD_OVERRIDE=FQ","FILING_STATUS=OR","SCALING_FORMAT=MLN","Sort=A","Dates=H","DateFormat=P","Fill=—","Direction=H","UseDPDF=Y")</f>
        <v>0</v>
      </c>
      <c r="AK14" s="13">
        <f>_xll.BDH("AMZN US Equity","INVTRY_IN_PROGRESS","FQ3 2007","FQ3 2007","Currency=USD","Period=FQ","BEST_FPERIOD_OVERRIDE=FQ","FILING_STATUS=OR","SCALING_FORMAT=MLN","Sort=A","Dates=H","DateFormat=P","Fill=—","Direction=H","UseDPDF=Y")</f>
        <v>0</v>
      </c>
      <c r="AL14" s="13" t="str">
        <f>_xll.BDH("AMZN US Equity","INVTRY_IN_PROGRESS","FQ4 2007","FQ4 2007","Currency=USD","Period=FQ","BEST_FPERIOD_OVERRIDE=FQ","FILING_STATUS=OR","SCALING_FORMAT=MLN","Sort=A","Dates=H","DateFormat=P","Fill=—","Direction=H","UseDPDF=Y")</f>
        <v>—</v>
      </c>
      <c r="AM14" s="13">
        <f>_xll.BDH("AMZN US Equity","INVTRY_IN_PROGRESS","FQ1 2008","FQ1 2008","Currency=USD","Period=FQ","BEST_FPERIOD_OVERRIDE=FQ","FILING_STATUS=OR","SCALING_FORMAT=MLN","Sort=A","Dates=H","DateFormat=P","Fill=—","Direction=H","UseDPDF=Y")</f>
        <v>0</v>
      </c>
      <c r="AN14" s="13">
        <f>_xll.BDH("AMZN US Equity","INVTRY_IN_PROGRESS","FQ2 2008","FQ2 2008","Currency=USD","Period=FQ","BEST_FPERIOD_OVERRIDE=FQ","FILING_STATUS=OR","SCALING_FORMAT=MLN","Sort=A","Dates=H","DateFormat=P","Fill=—","Direction=H","UseDPDF=Y")</f>
        <v>0</v>
      </c>
      <c r="AO14" s="13">
        <f>_xll.BDH("AMZN US Equity","INVTRY_IN_PROGRESS","FQ3 2008","FQ3 2008","Currency=USD","Period=FQ","BEST_FPERIOD_OVERRIDE=FQ","FILING_STATUS=OR","SCALING_FORMAT=MLN","Sort=A","Dates=H","DateFormat=P","Fill=—","Direction=H","UseDPDF=Y")</f>
        <v>0</v>
      </c>
      <c r="AP14" s="13" t="str">
        <f>_xll.BDH("AMZN US Equity","INVTRY_IN_PROGRESS","FQ4 2008","FQ4 2008","Currency=USD","Period=FQ","BEST_FPERIOD_OVERRIDE=FQ","FILING_STATUS=OR","SCALING_FORMAT=MLN","Sort=A","Dates=H","DateFormat=P","Fill=—","Direction=H","UseDPDF=Y")</f>
        <v>—</v>
      </c>
    </row>
    <row r="15" spans="1:42" x14ac:dyDescent="0.25">
      <c r="A15" s="10" t="s">
        <v>196</v>
      </c>
      <c r="B15" s="10" t="s">
        <v>197</v>
      </c>
      <c r="C15" s="13">
        <f>_xll.BDH("AMZN US Equity","INVTRY_FINISHED_GOODS","FQ4 1998","FQ4 1998","Currency=USD","Period=FQ","BEST_FPERIOD_OVERRIDE=FQ","FILING_STATUS=OR","SCALING_FORMAT=MLN","Sort=A","Dates=H","DateFormat=P","Fill=—","Direction=H","UseDPDF=Y")</f>
        <v>29.501000000000001</v>
      </c>
      <c r="D15" s="13">
        <f>_xll.BDH("AMZN US Equity","INVTRY_FINISHED_GOODS","FQ1 1999","FQ1 1999","Currency=USD","Period=FQ","BEST_FPERIOD_OVERRIDE=FQ","FILING_STATUS=OR","SCALING_FORMAT=MLN","Sort=A","Dates=H","DateFormat=P","Fill=—","Direction=H","UseDPDF=Y")</f>
        <v>45.235999999999997</v>
      </c>
      <c r="E15" s="13">
        <f>_xll.BDH("AMZN US Equity","INVTRY_FINISHED_GOODS","FQ2 1999","FQ2 1999","Currency=USD","Period=FQ","BEST_FPERIOD_OVERRIDE=FQ","FILING_STATUS=OR","SCALING_FORMAT=MLN","Sort=A","Dates=H","DateFormat=P","Fill=—","Direction=H","UseDPDF=Y")</f>
        <v>59.387</v>
      </c>
      <c r="F15" s="13">
        <f>_xll.BDH("AMZN US Equity","INVTRY_FINISHED_GOODS","FQ3 1999","FQ3 1999","Currency=USD","Period=FQ","BEST_FPERIOD_OVERRIDE=FQ","FILING_STATUS=OR","SCALING_FORMAT=MLN","Sort=A","Dates=H","DateFormat=P","Fill=—","Direction=H","UseDPDF=Y")</f>
        <v>118.79300000000001</v>
      </c>
      <c r="G15" s="13">
        <f>_xll.BDH("AMZN US Equity","INVTRY_FINISHED_GOODS","FQ4 1999","FQ4 1999","Currency=USD","Period=FQ","BEST_FPERIOD_OVERRIDE=FQ","FILING_STATUS=OR","SCALING_FORMAT=MLN","Sort=A","Dates=H","DateFormat=P","Fill=—","Direction=H","UseDPDF=Y")</f>
        <v>220.64599999999999</v>
      </c>
      <c r="H15" s="13">
        <f>_xll.BDH("AMZN US Equity","INVTRY_FINISHED_GOODS","FQ1 2000","FQ1 2000","Currency=USD","Period=FQ","BEST_FPERIOD_OVERRIDE=FQ","FILING_STATUS=OR","SCALING_FORMAT=MLN","Sort=A","Dates=H","DateFormat=P","Fill=—","Direction=H","UseDPDF=Y")</f>
        <v>172.25700000000001</v>
      </c>
      <c r="I15" s="13">
        <f>_xll.BDH("AMZN US Equity","INVTRY_FINISHED_GOODS","FQ3 2000","FQ3 2000","Currency=USD","Period=FQ","BEST_FPERIOD_OVERRIDE=FQ","FILING_STATUS=OR","SCALING_FORMAT=MLN","Sort=A","Dates=H","DateFormat=P","Fill=—","Direction=H","UseDPDF=Y")</f>
        <v>163.88</v>
      </c>
      <c r="J15" s="13">
        <f>_xll.BDH("AMZN US Equity","INVTRY_FINISHED_GOODS","FQ4 2000","FQ4 2000","Currency=USD","Period=FQ","BEST_FPERIOD_OVERRIDE=FQ","FILING_STATUS=OR","SCALING_FORMAT=MLN","Sort=A","Dates=H","DateFormat=P","Fill=—","Direction=H","UseDPDF=Y")</f>
        <v>174.56299999999999</v>
      </c>
      <c r="K15" s="13">
        <f>_xll.BDH("AMZN US Equity","INVTRY_FINISHED_GOODS","FQ1 2001","FQ1 2001","Currency=USD","Period=FQ","BEST_FPERIOD_OVERRIDE=FQ","FILING_STATUS=OR","SCALING_FORMAT=MLN","Sort=A","Dates=H","DateFormat=P","Fill=—","Direction=H","UseDPDF=Y")</f>
        <v>155.56200000000001</v>
      </c>
      <c r="L15" s="13">
        <f>_xll.BDH("AMZN US Equity","INVTRY_FINISHED_GOODS","FQ2 2001","FQ2 2001","Currency=USD","Period=FQ","BEST_FPERIOD_OVERRIDE=FQ","FILING_STATUS=OR","SCALING_FORMAT=MLN","Sort=A","Dates=H","DateFormat=P","Fill=—","Direction=H","UseDPDF=Y")</f>
        <v>129.035</v>
      </c>
      <c r="M15" s="13">
        <f>_xll.BDH("AMZN US Equity","INVTRY_FINISHED_GOODS","FQ3 2001","FQ3 2001","Currency=USD","Period=FQ","BEST_FPERIOD_OVERRIDE=FQ","FILING_STATUS=OR","SCALING_FORMAT=MLN","Sort=A","Dates=H","DateFormat=P","Fill=—","Direction=H","UseDPDF=Y")</f>
        <v>130.739</v>
      </c>
      <c r="N15" s="13">
        <f>_xll.BDH("AMZN US Equity","INVTRY_FINISHED_GOODS","FQ4 2001","FQ4 2001","Currency=USD","Period=FQ","BEST_FPERIOD_OVERRIDE=FQ","FILING_STATUS=OR","SCALING_FORMAT=MLN","Sort=A","Dates=H","DateFormat=P","Fill=—","Direction=H","UseDPDF=Y")</f>
        <v>143.72200000000001</v>
      </c>
      <c r="O15" s="13">
        <f>_xll.BDH("AMZN US Equity","INVTRY_FINISHED_GOODS","FQ1 2002","FQ1 2002","Currency=USD","Period=FQ","BEST_FPERIOD_OVERRIDE=FQ","FILING_STATUS=OR","SCALING_FORMAT=MLN","Sort=A","Dates=H","DateFormat=P","Fill=—","Direction=H","UseDPDF=Y")</f>
        <v>138.99600000000001</v>
      </c>
      <c r="P15" s="13">
        <f>_xll.BDH("AMZN US Equity","INVTRY_FINISHED_GOODS","FQ2 2002","FQ2 2002","Currency=USD","Period=FQ","BEST_FPERIOD_OVERRIDE=FQ","FILING_STATUS=OR","SCALING_FORMAT=MLN","Sort=A","Dates=H","DateFormat=P","Fill=—","Direction=H","UseDPDF=Y")</f>
        <v>126.794</v>
      </c>
      <c r="Q15" s="13">
        <f>_xll.BDH("AMZN US Equity","INVTRY_FINISHED_GOODS","FQ3 2002","FQ3 2002","Currency=USD","Period=FQ","BEST_FPERIOD_OVERRIDE=FQ","FILING_STATUS=OR","SCALING_FORMAT=MLN","Sort=A","Dates=H","DateFormat=P","Fill=—","Direction=H","UseDPDF=Y")</f>
        <v>151.51400000000001</v>
      </c>
      <c r="R15" s="13">
        <f>_xll.BDH("AMZN US Equity","INVTRY_FINISHED_GOODS","FQ4 2002","FQ4 2002","Currency=USD","Period=FQ","BEST_FPERIOD_OVERRIDE=FQ","FILING_STATUS=OR","SCALING_FORMAT=MLN","Sort=A","Dates=H","DateFormat=P","Fill=—","Direction=H","UseDPDF=Y")</f>
        <v>202.42500000000001</v>
      </c>
      <c r="S15" s="13">
        <f>_xll.BDH("AMZN US Equity","INVTRY_FINISHED_GOODS","FQ1 2003","FQ1 2003","Currency=USD","Period=FQ","BEST_FPERIOD_OVERRIDE=FQ","FILING_STATUS=OR","SCALING_FORMAT=MLN","Sort=A","Dates=H","DateFormat=P","Fill=—","Direction=H","UseDPDF=Y")</f>
        <v>173.03</v>
      </c>
      <c r="T15" s="13">
        <f>_xll.BDH("AMZN US Equity","INVTRY_FINISHED_GOODS","FQ2 2003","FQ2 2003","Currency=USD","Period=FQ","BEST_FPERIOD_OVERRIDE=FQ","FILING_STATUS=OR","SCALING_FORMAT=MLN","Sort=A","Dates=H","DateFormat=P","Fill=—","Direction=H","UseDPDF=Y")</f>
        <v>178.107</v>
      </c>
      <c r="U15" s="13">
        <f>_xll.BDH("AMZN US Equity","INVTRY_FINISHED_GOODS","FQ3 2003","FQ3 2003","Currency=USD","Period=FQ","BEST_FPERIOD_OVERRIDE=FQ","FILING_STATUS=OR","SCALING_FORMAT=MLN","Sort=A","Dates=H","DateFormat=P","Fill=—","Direction=H","UseDPDF=Y")</f>
        <v>241.667</v>
      </c>
      <c r="V15" s="13">
        <f>_xll.BDH("AMZN US Equity","INVTRY_FINISHED_GOODS","FQ4 2003","FQ4 2003","Currency=USD","Period=FQ","BEST_FPERIOD_OVERRIDE=FQ","FILING_STATUS=OR","SCALING_FORMAT=MLN","Sort=A","Dates=H","DateFormat=P","Fill=—","Direction=H","UseDPDF=Y")</f>
        <v>293.91699999999997</v>
      </c>
      <c r="W15" s="13">
        <f>_xll.BDH("AMZN US Equity","INVTRY_FINISHED_GOODS","FQ1 2004","FQ1 2004","Currency=USD","Period=FQ","BEST_FPERIOD_OVERRIDE=FQ","FILING_STATUS=OR","SCALING_FORMAT=MLN","Sort=A","Dates=H","DateFormat=P","Fill=—","Direction=H","UseDPDF=Y")</f>
        <v>281.55</v>
      </c>
      <c r="X15" s="13">
        <f>_xll.BDH("AMZN US Equity","INVTRY_FINISHED_GOODS","FQ2 2004","FQ2 2004","Currency=USD","Period=FQ","BEST_FPERIOD_OVERRIDE=FQ","FILING_STATUS=OR","SCALING_FORMAT=MLN","Sort=A","Dates=H","DateFormat=P","Fill=—","Direction=H","UseDPDF=Y")</f>
        <v>284.19400000000002</v>
      </c>
      <c r="Y15" s="13">
        <f>_xll.BDH("AMZN US Equity","INVTRY_FINISHED_GOODS","FQ3 2004","FQ3 2004","Currency=USD","Period=FQ","BEST_FPERIOD_OVERRIDE=FQ","FILING_STATUS=OR","SCALING_FORMAT=MLN","Sort=A","Dates=H","DateFormat=P","Fill=—","Direction=H","UseDPDF=Y")</f>
        <v>357.32</v>
      </c>
      <c r="Z15" s="13">
        <f>_xll.BDH("AMZN US Equity","INVTRY_FINISHED_GOODS","FQ4 2004","FQ4 2004","Currency=USD","Period=FQ","BEST_FPERIOD_OVERRIDE=FQ","FILING_STATUS=OR","SCALING_FORMAT=MLN","Sort=A","Dates=H","DateFormat=P","Fill=—","Direction=H","UseDPDF=Y")</f>
        <v>479.709</v>
      </c>
      <c r="AA15" s="13">
        <f>_xll.BDH("AMZN US Equity","INVTRY_FINISHED_GOODS","FQ1 2005","FQ1 2005","Currency=USD","Period=FQ","BEST_FPERIOD_OVERRIDE=FQ","FILING_STATUS=OR","SCALING_FORMAT=MLN","Sort=A","Dates=H","DateFormat=P","Fill=—","Direction=H","UseDPDF=Y")</f>
        <v>403</v>
      </c>
      <c r="AB15" s="13">
        <f>_xll.BDH("AMZN US Equity","INVTRY_FINISHED_GOODS","FQ2 2005","FQ2 2005","Currency=USD","Period=FQ","BEST_FPERIOD_OVERRIDE=FQ","FILING_STATUS=OR","SCALING_FORMAT=MLN","Sort=A","Dates=H","DateFormat=P","Fill=—","Direction=H","UseDPDF=Y")</f>
        <v>383</v>
      </c>
      <c r="AC15" s="13">
        <f>_xll.BDH("AMZN US Equity","INVTRY_FINISHED_GOODS","FQ3 2005","FQ3 2005","Currency=USD","Period=FQ","BEST_FPERIOD_OVERRIDE=FQ","FILING_STATUS=OR","SCALING_FORMAT=MLN","Sort=A","Dates=H","DateFormat=P","Fill=—","Direction=H","UseDPDF=Y")</f>
        <v>456</v>
      </c>
      <c r="AD15" s="13">
        <f>_xll.BDH("AMZN US Equity","INVTRY_FINISHED_GOODS","FQ4 2005","FQ4 2005","Currency=USD","Period=FQ","BEST_FPERIOD_OVERRIDE=FQ","FILING_STATUS=OR","SCALING_FORMAT=MLN","Sort=A","Dates=H","DateFormat=P","Fill=—","Direction=H","UseDPDF=Y")</f>
        <v>566</v>
      </c>
      <c r="AE15" s="13">
        <f>_xll.BDH("AMZN US Equity","INVTRY_FINISHED_GOODS","FQ1 2006","FQ1 2006","Currency=USD","Period=FQ","BEST_FPERIOD_OVERRIDE=FQ","FILING_STATUS=OR","SCALING_FORMAT=MLN","Sort=A","Dates=H","DateFormat=P","Fill=—","Direction=H","UseDPDF=Y")</f>
        <v>538</v>
      </c>
      <c r="AF15" s="13">
        <f>_xll.BDH("AMZN US Equity","INVTRY_FINISHED_GOODS","FQ2 2006","FQ2 2006","Currency=USD","Period=FQ","BEST_FPERIOD_OVERRIDE=FQ","FILING_STATUS=OR","SCALING_FORMAT=MLN","Sort=A","Dates=H","DateFormat=P","Fill=—","Direction=H","UseDPDF=Y")</f>
        <v>521</v>
      </c>
      <c r="AG15" s="13">
        <f>_xll.BDH("AMZN US Equity","INVTRY_FINISHED_GOODS","FQ3 2006","FQ3 2006","Currency=USD","Period=FQ","BEST_FPERIOD_OVERRIDE=FQ","FILING_STATUS=OR","SCALING_FORMAT=MLN","Sort=A","Dates=H","DateFormat=P","Fill=—","Direction=H","UseDPDF=Y")</f>
        <v>736</v>
      </c>
      <c r="AH15" s="13">
        <f>_xll.BDH("AMZN US Equity","INVTRY_FINISHED_GOODS","FQ4 2006","FQ4 2006","Currency=USD","Period=FQ","BEST_FPERIOD_OVERRIDE=FQ","FILING_STATUS=OR","SCALING_FORMAT=MLN","Sort=A","Dates=H","DateFormat=P","Fill=—","Direction=H","UseDPDF=Y")</f>
        <v>877</v>
      </c>
      <c r="AI15" s="13">
        <f>_xll.BDH("AMZN US Equity","INVTRY_FINISHED_GOODS","FQ1 2007","FQ1 2007","Currency=USD","Period=FQ","BEST_FPERIOD_OVERRIDE=FQ","FILING_STATUS=OR","SCALING_FORMAT=MLN","Sort=A","Dates=H","DateFormat=P","Fill=—","Direction=H","UseDPDF=Y")</f>
        <v>0</v>
      </c>
      <c r="AJ15" s="13">
        <f>_xll.BDH("AMZN US Equity","INVTRY_FINISHED_GOODS","FQ2 2007","FQ2 2007","Currency=USD","Period=FQ","BEST_FPERIOD_OVERRIDE=FQ","FILING_STATUS=OR","SCALING_FORMAT=MLN","Sort=A","Dates=H","DateFormat=P","Fill=—","Direction=H","UseDPDF=Y")</f>
        <v>735</v>
      </c>
      <c r="AK15" s="13">
        <f>_xll.BDH("AMZN US Equity","INVTRY_FINISHED_GOODS","FQ3 2007","FQ3 2007","Currency=USD","Period=FQ","BEST_FPERIOD_OVERRIDE=FQ","FILING_STATUS=OR","SCALING_FORMAT=MLN","Sort=A","Dates=H","DateFormat=P","Fill=—","Direction=H","UseDPDF=Y")</f>
        <v>0</v>
      </c>
      <c r="AL15" s="13" t="str">
        <f>_xll.BDH("AMZN US Equity","INVTRY_FINISHED_GOODS","FQ4 2007","FQ4 2007","Currency=USD","Period=FQ","BEST_FPERIOD_OVERRIDE=FQ","FILING_STATUS=OR","SCALING_FORMAT=MLN","Sort=A","Dates=H","DateFormat=P","Fill=—","Direction=H","UseDPDF=Y")</f>
        <v>—</v>
      </c>
      <c r="AM15" s="13">
        <f>_xll.BDH("AMZN US Equity","INVTRY_FINISHED_GOODS","FQ1 2008","FQ1 2008","Currency=USD","Period=FQ","BEST_FPERIOD_OVERRIDE=FQ","FILING_STATUS=OR","SCALING_FORMAT=MLN","Sort=A","Dates=H","DateFormat=P","Fill=—","Direction=H","UseDPDF=Y")</f>
        <v>0</v>
      </c>
      <c r="AN15" s="13">
        <f>_xll.BDH("AMZN US Equity","INVTRY_FINISHED_GOODS","FQ2 2008","FQ2 2008","Currency=USD","Period=FQ","BEST_FPERIOD_OVERRIDE=FQ","FILING_STATUS=OR","SCALING_FORMAT=MLN","Sort=A","Dates=H","DateFormat=P","Fill=—","Direction=H","UseDPDF=Y")</f>
        <v>0</v>
      </c>
      <c r="AO15" s="13">
        <f>_xll.BDH("AMZN US Equity","INVTRY_FINISHED_GOODS","FQ3 2008","FQ3 2008","Currency=USD","Period=FQ","BEST_FPERIOD_OVERRIDE=FQ","FILING_STATUS=OR","SCALING_FORMAT=MLN","Sort=A","Dates=H","DateFormat=P","Fill=—","Direction=H","UseDPDF=Y")</f>
        <v>0</v>
      </c>
      <c r="AP15" s="13" t="str">
        <f>_xll.BDH("AMZN US Equity","INVTRY_FINISHED_GOODS","FQ4 2008","FQ4 2008","Currency=USD","Period=FQ","BEST_FPERIOD_OVERRIDE=FQ","FILING_STATUS=OR","SCALING_FORMAT=MLN","Sort=A","Dates=H","DateFormat=P","Fill=—","Direction=H","UseDPDF=Y")</f>
        <v>—</v>
      </c>
    </row>
    <row r="16" spans="1:42" x14ac:dyDescent="0.25">
      <c r="A16" s="10" t="s">
        <v>198</v>
      </c>
      <c r="B16" s="10" t="s">
        <v>199</v>
      </c>
      <c r="C16" s="13">
        <f>_xll.BDH("AMZN US Equity","BS_OTHER_INV","FQ4 1998","FQ4 1998","Currency=USD","Period=FQ","BEST_FPERIOD_OVERRIDE=FQ","FILING_STATUS=OR","SCALING_FORMAT=MLN","Sort=A","Dates=H","DateFormat=P","Fill=—","Direction=H","UseDPDF=Y")</f>
        <v>0</v>
      </c>
      <c r="D16" s="13">
        <f>_xll.BDH("AMZN US Equity","BS_OTHER_INV","FQ1 1999","FQ1 1999","Currency=USD","Period=FQ","BEST_FPERIOD_OVERRIDE=FQ","FILING_STATUS=OR","SCALING_FORMAT=MLN","Sort=A","Dates=H","DateFormat=P","Fill=—","Direction=H","UseDPDF=Y")</f>
        <v>0</v>
      </c>
      <c r="E16" s="13">
        <f>_xll.BDH("AMZN US Equity","BS_OTHER_INV","FQ2 1999","FQ2 1999","Currency=USD","Period=FQ","BEST_FPERIOD_OVERRIDE=FQ","FILING_STATUS=OR","SCALING_FORMAT=MLN","Sort=A","Dates=H","DateFormat=P","Fill=—","Direction=H","UseDPDF=Y")</f>
        <v>0</v>
      </c>
      <c r="F16" s="13">
        <f>_xll.BDH("AMZN US Equity","BS_OTHER_INV","FQ3 1999","FQ3 1999","Currency=USD","Period=FQ","BEST_FPERIOD_OVERRIDE=FQ","FILING_STATUS=OR","SCALING_FORMAT=MLN","Sort=A","Dates=H","DateFormat=P","Fill=—","Direction=H","UseDPDF=Y")</f>
        <v>0</v>
      </c>
      <c r="G16" s="13">
        <f>_xll.BDH("AMZN US Equity","BS_OTHER_INV","FQ4 1999","FQ4 1999","Currency=USD","Period=FQ","BEST_FPERIOD_OVERRIDE=FQ","FILING_STATUS=OR","SCALING_FORMAT=MLN","Sort=A","Dates=H","DateFormat=P","Fill=—","Direction=H","UseDPDF=Y")</f>
        <v>0</v>
      </c>
      <c r="H16" s="13">
        <f>_xll.BDH("AMZN US Equity","BS_OTHER_INV","FQ1 2000","FQ1 2000","Currency=USD","Period=FQ","BEST_FPERIOD_OVERRIDE=FQ","FILING_STATUS=OR","SCALING_FORMAT=MLN","Sort=A","Dates=H","DateFormat=P","Fill=—","Direction=H","UseDPDF=Y")</f>
        <v>0</v>
      </c>
      <c r="I16" s="13">
        <f>_xll.BDH("AMZN US Equity","BS_OTHER_INV","FQ3 2000","FQ3 2000","Currency=USD","Period=FQ","BEST_FPERIOD_OVERRIDE=FQ","FILING_STATUS=OR","SCALING_FORMAT=MLN","Sort=A","Dates=H","DateFormat=P","Fill=—","Direction=H","UseDPDF=Y")</f>
        <v>0</v>
      </c>
      <c r="J16" s="13">
        <f>_xll.BDH("AMZN US Equity","BS_OTHER_INV","FQ4 2000","FQ4 2000","Currency=USD","Period=FQ","BEST_FPERIOD_OVERRIDE=FQ","FILING_STATUS=OR","SCALING_FORMAT=MLN","Sort=A","Dates=H","DateFormat=P","Fill=—","Direction=H","UseDPDF=Y")</f>
        <v>0</v>
      </c>
      <c r="K16" s="13">
        <f>_xll.BDH("AMZN US Equity","BS_OTHER_INV","FQ1 2001","FQ1 2001","Currency=USD","Period=FQ","BEST_FPERIOD_OVERRIDE=FQ","FILING_STATUS=OR","SCALING_FORMAT=MLN","Sort=A","Dates=H","DateFormat=P","Fill=—","Direction=H","UseDPDF=Y")</f>
        <v>0</v>
      </c>
      <c r="L16" s="13">
        <f>_xll.BDH("AMZN US Equity","BS_OTHER_INV","FQ2 2001","FQ2 2001","Currency=USD","Period=FQ","BEST_FPERIOD_OVERRIDE=FQ","FILING_STATUS=OR","SCALING_FORMAT=MLN","Sort=A","Dates=H","DateFormat=P","Fill=—","Direction=H","UseDPDF=Y")</f>
        <v>0</v>
      </c>
      <c r="M16" s="13">
        <f>_xll.BDH("AMZN US Equity","BS_OTHER_INV","FQ3 2001","FQ3 2001","Currency=USD","Period=FQ","BEST_FPERIOD_OVERRIDE=FQ","FILING_STATUS=OR","SCALING_FORMAT=MLN","Sort=A","Dates=H","DateFormat=P","Fill=—","Direction=H","UseDPDF=Y")</f>
        <v>0</v>
      </c>
      <c r="N16" s="13">
        <f>_xll.BDH("AMZN US Equity","BS_OTHER_INV","FQ4 2001","FQ4 2001","Currency=USD","Period=FQ","BEST_FPERIOD_OVERRIDE=FQ","FILING_STATUS=OR","SCALING_FORMAT=MLN","Sort=A","Dates=H","DateFormat=P","Fill=—","Direction=H","UseDPDF=Y")</f>
        <v>0</v>
      </c>
      <c r="O16" s="13">
        <f>_xll.BDH("AMZN US Equity","BS_OTHER_INV","FQ1 2002","FQ1 2002","Currency=USD","Period=FQ","BEST_FPERIOD_OVERRIDE=FQ","FILING_STATUS=OR","SCALING_FORMAT=MLN","Sort=A","Dates=H","DateFormat=P","Fill=—","Direction=H","UseDPDF=Y")</f>
        <v>0</v>
      </c>
      <c r="P16" s="13">
        <f>_xll.BDH("AMZN US Equity","BS_OTHER_INV","FQ2 2002","FQ2 2002","Currency=USD","Period=FQ","BEST_FPERIOD_OVERRIDE=FQ","FILING_STATUS=OR","SCALING_FORMAT=MLN","Sort=A","Dates=H","DateFormat=P","Fill=—","Direction=H","UseDPDF=Y")</f>
        <v>0</v>
      </c>
      <c r="Q16" s="13">
        <f>_xll.BDH("AMZN US Equity","BS_OTHER_INV","FQ3 2002","FQ3 2002","Currency=USD","Period=FQ","BEST_FPERIOD_OVERRIDE=FQ","FILING_STATUS=OR","SCALING_FORMAT=MLN","Sort=A","Dates=H","DateFormat=P","Fill=—","Direction=H","UseDPDF=Y")</f>
        <v>0</v>
      </c>
      <c r="R16" s="13">
        <f>_xll.BDH("AMZN US Equity","BS_OTHER_INV","FQ4 2002","FQ4 2002","Currency=USD","Period=FQ","BEST_FPERIOD_OVERRIDE=FQ","FILING_STATUS=OR","SCALING_FORMAT=MLN","Sort=A","Dates=H","DateFormat=P","Fill=—","Direction=H","UseDPDF=Y")</f>
        <v>0</v>
      </c>
      <c r="S16" s="13">
        <f>_xll.BDH("AMZN US Equity","BS_OTHER_INV","FQ1 2003","FQ1 2003","Currency=USD","Period=FQ","BEST_FPERIOD_OVERRIDE=FQ","FILING_STATUS=OR","SCALING_FORMAT=MLN","Sort=A","Dates=H","DateFormat=P","Fill=—","Direction=H","UseDPDF=Y")</f>
        <v>0</v>
      </c>
      <c r="T16" s="13">
        <f>_xll.BDH("AMZN US Equity","BS_OTHER_INV","FQ2 2003","FQ2 2003","Currency=USD","Period=FQ","BEST_FPERIOD_OVERRIDE=FQ","FILING_STATUS=OR","SCALING_FORMAT=MLN","Sort=A","Dates=H","DateFormat=P","Fill=—","Direction=H","UseDPDF=Y")</f>
        <v>0</v>
      </c>
      <c r="U16" s="13">
        <f>_xll.BDH("AMZN US Equity","BS_OTHER_INV","FQ3 2003","FQ3 2003","Currency=USD","Period=FQ","BEST_FPERIOD_OVERRIDE=FQ","FILING_STATUS=OR","SCALING_FORMAT=MLN","Sort=A","Dates=H","DateFormat=P","Fill=—","Direction=H","UseDPDF=Y")</f>
        <v>0</v>
      </c>
      <c r="V16" s="13">
        <f>_xll.BDH("AMZN US Equity","BS_OTHER_INV","FQ4 2003","FQ4 2003","Currency=USD","Period=FQ","BEST_FPERIOD_OVERRIDE=FQ","FILING_STATUS=OR","SCALING_FORMAT=MLN","Sort=A","Dates=H","DateFormat=P","Fill=—","Direction=H","UseDPDF=Y")</f>
        <v>0</v>
      </c>
      <c r="W16" s="13">
        <f>_xll.BDH("AMZN US Equity","BS_OTHER_INV","FQ1 2004","FQ1 2004","Currency=USD","Period=FQ","BEST_FPERIOD_OVERRIDE=FQ","FILING_STATUS=OR","SCALING_FORMAT=MLN","Sort=A","Dates=H","DateFormat=P","Fill=—","Direction=H","UseDPDF=Y")</f>
        <v>0</v>
      </c>
      <c r="X16" s="13">
        <f>_xll.BDH("AMZN US Equity","BS_OTHER_INV","FQ2 2004","FQ2 2004","Currency=USD","Period=FQ","BEST_FPERIOD_OVERRIDE=FQ","FILING_STATUS=OR","SCALING_FORMAT=MLN","Sort=A","Dates=H","DateFormat=P","Fill=—","Direction=H","UseDPDF=Y")</f>
        <v>0</v>
      </c>
      <c r="Y16" s="13">
        <f>_xll.BDH("AMZN US Equity","BS_OTHER_INV","FQ3 2004","FQ3 2004","Currency=USD","Period=FQ","BEST_FPERIOD_OVERRIDE=FQ","FILING_STATUS=OR","SCALING_FORMAT=MLN","Sort=A","Dates=H","DateFormat=P","Fill=—","Direction=H","UseDPDF=Y")</f>
        <v>0</v>
      </c>
      <c r="Z16" s="13">
        <f>_xll.BDH("AMZN US Equity","BS_OTHER_INV","FQ4 2004","FQ4 2004","Currency=USD","Period=FQ","BEST_FPERIOD_OVERRIDE=FQ","FILING_STATUS=OR","SCALING_FORMAT=MLN","Sort=A","Dates=H","DateFormat=P","Fill=—","Direction=H","UseDPDF=Y")</f>
        <v>0</v>
      </c>
      <c r="AA16" s="13">
        <f>_xll.BDH("AMZN US Equity","BS_OTHER_INV","FQ1 2005","FQ1 2005","Currency=USD","Period=FQ","BEST_FPERIOD_OVERRIDE=FQ","FILING_STATUS=OR","SCALING_FORMAT=MLN","Sort=A","Dates=H","DateFormat=P","Fill=—","Direction=H","UseDPDF=Y")</f>
        <v>0</v>
      </c>
      <c r="AB16" s="13">
        <f>_xll.BDH("AMZN US Equity","BS_OTHER_INV","FQ2 2005","FQ2 2005","Currency=USD","Period=FQ","BEST_FPERIOD_OVERRIDE=FQ","FILING_STATUS=OR","SCALING_FORMAT=MLN","Sort=A","Dates=H","DateFormat=P","Fill=—","Direction=H","UseDPDF=Y")</f>
        <v>0</v>
      </c>
      <c r="AC16" s="13">
        <f>_xll.BDH("AMZN US Equity","BS_OTHER_INV","FQ3 2005","FQ3 2005","Currency=USD","Period=FQ","BEST_FPERIOD_OVERRIDE=FQ","FILING_STATUS=OR","SCALING_FORMAT=MLN","Sort=A","Dates=H","DateFormat=P","Fill=—","Direction=H","UseDPDF=Y")</f>
        <v>0</v>
      </c>
      <c r="AD16" s="13">
        <f>_xll.BDH("AMZN US Equity","BS_OTHER_INV","FQ4 2005","FQ4 2005","Currency=USD","Period=FQ","BEST_FPERIOD_OVERRIDE=FQ","FILING_STATUS=OR","SCALING_FORMAT=MLN","Sort=A","Dates=H","DateFormat=P","Fill=—","Direction=H","UseDPDF=Y")</f>
        <v>0</v>
      </c>
      <c r="AE16" s="13">
        <f>_xll.BDH("AMZN US Equity","BS_OTHER_INV","FQ1 2006","FQ1 2006","Currency=USD","Period=FQ","BEST_FPERIOD_OVERRIDE=FQ","FILING_STATUS=OR","SCALING_FORMAT=MLN","Sort=A","Dates=H","DateFormat=P","Fill=—","Direction=H","UseDPDF=Y")</f>
        <v>0</v>
      </c>
      <c r="AF16" s="13">
        <f>_xll.BDH("AMZN US Equity","BS_OTHER_INV","FQ2 2006","FQ2 2006","Currency=USD","Period=FQ","BEST_FPERIOD_OVERRIDE=FQ","FILING_STATUS=OR","SCALING_FORMAT=MLN","Sort=A","Dates=H","DateFormat=P","Fill=—","Direction=H","UseDPDF=Y")</f>
        <v>0</v>
      </c>
      <c r="AG16" s="13">
        <f>_xll.BDH("AMZN US Equity","BS_OTHER_INV","FQ3 2006","FQ3 2006","Currency=USD","Period=FQ","BEST_FPERIOD_OVERRIDE=FQ","FILING_STATUS=OR","SCALING_FORMAT=MLN","Sort=A","Dates=H","DateFormat=P","Fill=—","Direction=H","UseDPDF=Y")</f>
        <v>0</v>
      </c>
      <c r="AH16" s="13">
        <f>_xll.BDH("AMZN US Equity","BS_OTHER_INV","FQ4 2006","FQ4 2006","Currency=USD","Period=FQ","BEST_FPERIOD_OVERRIDE=FQ","FILING_STATUS=OR","SCALING_FORMAT=MLN","Sort=A","Dates=H","DateFormat=P","Fill=—","Direction=H","UseDPDF=Y")</f>
        <v>0</v>
      </c>
      <c r="AI16" s="13">
        <f>_xll.BDH("AMZN US Equity","BS_OTHER_INV","FQ1 2007","FQ1 2007","Currency=USD","Period=FQ","BEST_FPERIOD_OVERRIDE=FQ","FILING_STATUS=OR","SCALING_FORMAT=MLN","Sort=A","Dates=H","DateFormat=P","Fill=—","Direction=H","UseDPDF=Y")</f>
        <v>0</v>
      </c>
      <c r="AJ16" s="13">
        <f>_xll.BDH("AMZN US Equity","BS_OTHER_INV","FQ2 2007","FQ2 2007","Currency=USD","Period=FQ","BEST_FPERIOD_OVERRIDE=FQ","FILING_STATUS=OR","SCALING_FORMAT=MLN","Sort=A","Dates=H","DateFormat=P","Fill=—","Direction=H","UseDPDF=Y")</f>
        <v>0</v>
      </c>
      <c r="AK16" s="13">
        <f>_xll.BDH("AMZN US Equity","BS_OTHER_INV","FQ3 2007","FQ3 2007","Currency=USD","Period=FQ","BEST_FPERIOD_OVERRIDE=FQ","FILING_STATUS=OR","SCALING_FORMAT=MLN","Sort=A","Dates=H","DateFormat=P","Fill=—","Direction=H","UseDPDF=Y")</f>
        <v>0</v>
      </c>
      <c r="AL16" s="13" t="str">
        <f>_xll.BDH("AMZN US Equity","BS_OTHER_INV","FQ4 2007","FQ4 2007","Currency=USD","Period=FQ","BEST_FPERIOD_OVERRIDE=FQ","FILING_STATUS=OR","SCALING_FORMAT=MLN","Sort=A","Dates=H","DateFormat=P","Fill=—","Direction=H","UseDPDF=Y")</f>
        <v>—</v>
      </c>
      <c r="AM16" s="13">
        <f>_xll.BDH("AMZN US Equity","BS_OTHER_INV","FQ1 2008","FQ1 2008","Currency=USD","Period=FQ","BEST_FPERIOD_OVERRIDE=FQ","FILING_STATUS=OR","SCALING_FORMAT=MLN","Sort=A","Dates=H","DateFormat=P","Fill=—","Direction=H","UseDPDF=Y")</f>
        <v>0</v>
      </c>
      <c r="AN16" s="13">
        <f>_xll.BDH("AMZN US Equity","BS_OTHER_INV","FQ2 2008","FQ2 2008","Currency=USD","Period=FQ","BEST_FPERIOD_OVERRIDE=FQ","FILING_STATUS=OR","SCALING_FORMAT=MLN","Sort=A","Dates=H","DateFormat=P","Fill=—","Direction=H","UseDPDF=Y")</f>
        <v>0</v>
      </c>
      <c r="AO16" s="13">
        <f>_xll.BDH("AMZN US Equity","BS_OTHER_INV","FQ3 2008","FQ3 2008","Currency=USD","Period=FQ","BEST_FPERIOD_OVERRIDE=FQ","FILING_STATUS=OR","SCALING_FORMAT=MLN","Sort=A","Dates=H","DateFormat=P","Fill=—","Direction=H","UseDPDF=Y")</f>
        <v>0</v>
      </c>
      <c r="AP16" s="13" t="str">
        <f>_xll.BDH("AMZN US Equity","BS_OTHER_INV","FQ4 2008","FQ4 2008","Currency=USD","Period=FQ","BEST_FPERIOD_OVERRIDE=FQ","FILING_STATUS=OR","SCALING_FORMAT=MLN","Sort=A","Dates=H","DateFormat=P","Fill=—","Direction=H","UseDPDF=Y")</f>
        <v>—</v>
      </c>
    </row>
    <row r="17" spans="1:42" x14ac:dyDescent="0.25">
      <c r="A17" s="10" t="s">
        <v>200</v>
      </c>
      <c r="B17" s="10" t="s">
        <v>201</v>
      </c>
      <c r="C17" s="13">
        <f>_xll.BDH("AMZN US Equity","OTHER_CURRENT_ASSETS_DETAILED","FQ4 1998","FQ4 1998","Currency=USD","Period=FQ","BEST_FPERIOD_OVERRIDE=FQ","FILING_STATUS=OR","SCALING_FORMAT=MLN","Sort=A","Dates=H","DateFormat=P","Fill=—","Direction=H","UseDPDF=Y")</f>
        <v>21.308</v>
      </c>
      <c r="D17" s="13">
        <f>_xll.BDH("AMZN US Equity","OTHER_CURRENT_ASSETS_DETAILED","FQ1 1999","FQ1 1999","Currency=USD","Period=FQ","BEST_FPERIOD_OVERRIDE=FQ","FILING_STATUS=OR","SCALING_FORMAT=MLN","Sort=A","Dates=H","DateFormat=P","Fill=—","Direction=H","UseDPDF=Y")</f>
        <v>37.076999999999998</v>
      </c>
      <c r="E17" s="13">
        <f>_xll.BDH("AMZN US Equity","OTHER_CURRENT_ASSETS_DETAILED","FQ2 1999","FQ2 1999","Currency=USD","Period=FQ","BEST_FPERIOD_OVERRIDE=FQ","FILING_STATUS=OR","SCALING_FORMAT=MLN","Sort=A","Dates=H","DateFormat=P","Fill=—","Direction=H","UseDPDF=Y")</f>
        <v>53.334000000000003</v>
      </c>
      <c r="F17" s="13">
        <f>_xll.BDH("AMZN US Equity","OTHER_CURRENT_ASSETS_DETAILED","FQ3 1999","FQ3 1999","Currency=USD","Period=FQ","BEST_FPERIOD_OVERRIDE=FQ","FILING_STATUS=OR","SCALING_FORMAT=MLN","Sort=A","Dates=H","DateFormat=P","Fill=—","Direction=H","UseDPDF=Y")</f>
        <v>55.59</v>
      </c>
      <c r="G17" s="13">
        <f>_xll.BDH("AMZN US Equity","OTHER_CURRENT_ASSETS_DETAILED","FQ4 1999","FQ4 1999","Currency=USD","Period=FQ","BEST_FPERIOD_OVERRIDE=FQ","FILING_STATUS=OR","SCALING_FORMAT=MLN","Sort=A","Dates=H","DateFormat=P","Fill=—","Direction=H","UseDPDF=Y")</f>
        <v>85.343999999999994</v>
      </c>
      <c r="H17" s="13">
        <f>_xll.BDH("AMZN US Equity","OTHER_CURRENT_ASSETS_DETAILED","FQ1 2000","FQ1 2000","Currency=USD","Period=FQ","BEST_FPERIOD_OVERRIDE=FQ","FILING_STATUS=OR","SCALING_FORMAT=MLN","Sort=A","Dates=H","DateFormat=P","Fill=—","Direction=H","UseDPDF=Y")</f>
        <v>89.811000000000007</v>
      </c>
      <c r="I17" s="13">
        <f>_xll.BDH("AMZN US Equity","OTHER_CURRENT_ASSETS_DETAILED","FQ3 2000","FQ3 2000","Currency=USD","Period=FQ","BEST_FPERIOD_OVERRIDE=FQ","FILING_STATUS=OR","SCALING_FORMAT=MLN","Sort=A","Dates=H","DateFormat=P","Fill=—","Direction=H","UseDPDF=Y")</f>
        <v>99.180999999999997</v>
      </c>
      <c r="J17" s="13">
        <f>_xll.BDH("AMZN US Equity","OTHER_CURRENT_ASSETS_DETAILED","FQ4 2000","FQ4 2000","Currency=USD","Period=FQ","BEST_FPERIOD_OVERRIDE=FQ","FILING_STATUS=OR","SCALING_FORMAT=MLN","Sort=A","Dates=H","DateFormat=P","Fill=—","Direction=H","UseDPDF=Y")</f>
        <v>86.043999999999997</v>
      </c>
      <c r="K17" s="13">
        <f>_xll.BDH("AMZN US Equity","OTHER_CURRENT_ASSETS_DETAILED","FQ1 2001","FQ1 2001","Currency=USD","Period=FQ","BEST_FPERIOD_OVERRIDE=FQ","FILING_STATUS=OR","SCALING_FORMAT=MLN","Sort=A","Dates=H","DateFormat=P","Fill=—","Direction=H","UseDPDF=Y")</f>
        <v>57.174999999999997</v>
      </c>
      <c r="L17" s="13">
        <f>_xll.BDH("AMZN US Equity","OTHER_CURRENT_ASSETS_DETAILED","FQ2 2001","FQ2 2001","Currency=USD","Period=FQ","BEST_FPERIOD_OVERRIDE=FQ","FILING_STATUS=OR","SCALING_FORMAT=MLN","Sort=A","Dates=H","DateFormat=P","Fill=—","Direction=H","UseDPDF=Y")</f>
        <v>71.352999999999994</v>
      </c>
      <c r="M17" s="13">
        <f>_xll.BDH("AMZN US Equity","OTHER_CURRENT_ASSETS_DETAILED","FQ3 2001","FQ3 2001","Currency=USD","Period=FQ","BEST_FPERIOD_OVERRIDE=FQ","FILING_STATUS=OR","SCALING_FORMAT=MLN","Sort=A","Dates=H","DateFormat=P","Fill=—","Direction=H","UseDPDF=Y")</f>
        <v>71.436999999999998</v>
      </c>
      <c r="N17" s="13">
        <f>_xll.BDH("AMZN US Equity","OTHER_CURRENT_ASSETS_DETAILED","FQ4 2001","FQ4 2001","Currency=USD","Period=FQ","BEST_FPERIOD_OVERRIDE=FQ","FILING_STATUS=OR","SCALING_FORMAT=MLN","Sort=A","Dates=H","DateFormat=P","Fill=—","Direction=H","UseDPDF=Y")</f>
        <v>67.613</v>
      </c>
      <c r="O17" s="13">
        <f>_xll.BDH("AMZN US Equity","OTHER_CURRENT_ASSETS_DETAILED","FQ1 2002","FQ1 2002","Currency=USD","Period=FQ","BEST_FPERIOD_OVERRIDE=FQ","FILING_STATUS=OR","SCALING_FORMAT=MLN","Sort=A","Dates=H","DateFormat=P","Fill=—","Direction=H","UseDPDF=Y")</f>
        <v>70.019000000000005</v>
      </c>
      <c r="P17" s="13">
        <f>_xll.BDH("AMZN US Equity","OTHER_CURRENT_ASSETS_DETAILED","FQ2 2002","FQ2 2002","Currency=USD","Period=FQ","BEST_FPERIOD_OVERRIDE=FQ","FILING_STATUS=OR","SCALING_FORMAT=MLN","Sort=A","Dates=H","DateFormat=P","Fill=—","Direction=H","UseDPDF=Y")</f>
        <v>93.203999999999994</v>
      </c>
      <c r="Q17" s="13">
        <f>_xll.BDH("AMZN US Equity","OTHER_CURRENT_ASSETS_DETAILED","FQ3 2002","FQ3 2002","Currency=USD","Period=FQ","BEST_FPERIOD_OVERRIDE=FQ","FILING_STATUS=OR","SCALING_FORMAT=MLN","Sort=A","Dates=H","DateFormat=P","Fill=—","Direction=H","UseDPDF=Y")</f>
        <v>102.291</v>
      </c>
      <c r="R17" s="13">
        <f>_xll.BDH("AMZN US Equity","OTHER_CURRENT_ASSETS_DETAILED","FQ4 2002","FQ4 2002","Currency=USD","Period=FQ","BEST_FPERIOD_OVERRIDE=FQ","FILING_STATUS=OR","SCALING_FORMAT=MLN","Sort=A","Dates=H","DateFormat=P","Fill=—","Direction=H","UseDPDF=Y")</f>
        <v>112.282</v>
      </c>
      <c r="S17" s="13">
        <f>_xll.BDH("AMZN US Equity","OTHER_CURRENT_ASSETS_DETAILED","FQ1 2003","FQ1 2003","Currency=USD","Period=FQ","BEST_FPERIOD_OVERRIDE=FQ","FILING_STATUS=OR","SCALING_FORMAT=MLN","Sort=A","Dates=H","DateFormat=P","Fill=—","Direction=H","UseDPDF=Y")</f>
        <v>88.914000000000001</v>
      </c>
      <c r="T17" s="13">
        <f>_xll.BDH("AMZN US Equity","OTHER_CURRENT_ASSETS_DETAILED","FQ2 2003","FQ2 2003","Currency=USD","Period=FQ","BEST_FPERIOD_OVERRIDE=FQ","FILING_STATUS=OR","SCALING_FORMAT=MLN","Sort=A","Dates=H","DateFormat=P","Fill=—","Direction=H","UseDPDF=Y")</f>
        <v>84.375</v>
      </c>
      <c r="U17" s="13">
        <f>_xll.BDH("AMZN US Equity","OTHER_CURRENT_ASSETS_DETAILED","FQ3 2003","FQ3 2003","Currency=USD","Period=FQ","BEST_FPERIOD_OVERRIDE=FQ","FILING_STATUS=OR","SCALING_FORMAT=MLN","Sort=A","Dates=H","DateFormat=P","Fill=—","Direction=H","UseDPDF=Y")</f>
        <v>103.873</v>
      </c>
      <c r="V17" s="13">
        <f>_xll.BDH("AMZN US Equity","OTHER_CURRENT_ASSETS_DETAILED","FQ4 2003","FQ4 2003","Currency=USD","Period=FQ","BEST_FPERIOD_OVERRIDE=FQ","FILING_STATUS=OR","SCALING_FORMAT=MLN","Sort=A","Dates=H","DateFormat=P","Fill=—","Direction=H","UseDPDF=Y")</f>
        <v>132.06899999999999</v>
      </c>
      <c r="W17" s="13">
        <f>_xll.BDH("AMZN US Equity","OTHER_CURRENT_ASSETS_DETAILED","FQ1 2004","FQ1 2004","Currency=USD","Period=FQ","BEST_FPERIOD_OVERRIDE=FQ","FILING_STATUS=OR","SCALING_FORMAT=MLN","Sort=A","Dates=H","DateFormat=P","Fill=—","Direction=H","UseDPDF=Y")</f>
        <v>125.883</v>
      </c>
      <c r="X17" s="13">
        <f>_xll.BDH("AMZN US Equity","OTHER_CURRENT_ASSETS_DETAILED","FQ2 2004","FQ2 2004","Currency=USD","Period=FQ","BEST_FPERIOD_OVERRIDE=FQ","FILING_STATUS=OR","SCALING_FORMAT=MLN","Sort=A","Dates=H","DateFormat=P","Fill=—","Direction=H","UseDPDF=Y")</f>
        <v>125.64700000000001</v>
      </c>
      <c r="Y17" s="13">
        <f>_xll.BDH("AMZN US Equity","OTHER_CURRENT_ASSETS_DETAILED","FQ3 2004","FQ3 2004","Currency=USD","Period=FQ","BEST_FPERIOD_OVERRIDE=FQ","FILING_STATUS=OR","SCALING_FORMAT=MLN","Sort=A","Dates=H","DateFormat=P","Fill=—","Direction=H","UseDPDF=Y")</f>
        <v>150.76400000000001</v>
      </c>
      <c r="Z17" s="13">
        <f>_xll.BDH("AMZN US Equity","OTHER_CURRENT_ASSETS_DETAILED","FQ4 2004","FQ4 2004","Currency=USD","Period=FQ","BEST_FPERIOD_OVERRIDE=FQ","FILING_STATUS=OR","SCALING_FORMAT=MLN","Sort=A","Dates=H","DateFormat=P","Fill=—","Direction=H","UseDPDF=Y")</f>
        <v>81.388000000000005</v>
      </c>
      <c r="AA17" s="13">
        <f>_xll.BDH("AMZN US Equity","OTHER_CURRENT_ASSETS_DETAILED","FQ1 2005","FQ1 2005","Currency=USD","Period=FQ","BEST_FPERIOD_OVERRIDE=FQ","FILING_STATUS=OR","SCALING_FORMAT=MLN","Sort=A","Dates=H","DateFormat=P","Fill=—","Direction=H","UseDPDF=Y")</f>
        <v>68</v>
      </c>
      <c r="AB17" s="13">
        <f>_xll.BDH("AMZN US Equity","OTHER_CURRENT_ASSETS_DETAILED","FQ2 2005","FQ2 2005","Currency=USD","Period=FQ","BEST_FPERIOD_OVERRIDE=FQ","FILING_STATUS=OR","SCALING_FORMAT=MLN","Sort=A","Dates=H","DateFormat=P","Fill=—","Direction=H","UseDPDF=Y")</f>
        <v>63</v>
      </c>
      <c r="AC17" s="13">
        <f>_xll.BDH("AMZN US Equity","OTHER_CURRENT_ASSETS_DETAILED","FQ3 2005","FQ3 2005","Currency=USD","Period=FQ","BEST_FPERIOD_OVERRIDE=FQ","FILING_STATUS=OR","SCALING_FORMAT=MLN","Sort=A","Dates=H","DateFormat=P","Fill=—","Direction=H","UseDPDF=Y")</f>
        <v>58</v>
      </c>
      <c r="AD17" s="13">
        <f>_xll.BDH("AMZN US Equity","OTHER_CURRENT_ASSETS_DETAILED","FQ4 2005","FQ4 2005","Currency=USD","Period=FQ","BEST_FPERIOD_OVERRIDE=FQ","FILING_STATUS=OR","SCALING_FORMAT=MLN","Sort=A","Dates=H","DateFormat=P","Fill=—","Direction=H","UseDPDF=Y")</f>
        <v>89</v>
      </c>
      <c r="AE17" s="13">
        <f>_xll.BDH("AMZN US Equity","OTHER_CURRENT_ASSETS_DETAILED","FQ1 2006","FQ1 2006","Currency=USD","Period=FQ","BEST_FPERIOD_OVERRIDE=FQ","FILING_STATUS=OR","SCALING_FORMAT=MLN","Sort=A","Dates=H","DateFormat=P","Fill=—","Direction=H","UseDPDF=Y")</f>
        <v>86</v>
      </c>
      <c r="AF17" s="13">
        <f>_xll.BDH("AMZN US Equity","OTHER_CURRENT_ASSETS_DETAILED","FQ2 2006","FQ2 2006","Currency=USD","Period=FQ","BEST_FPERIOD_OVERRIDE=FQ","FILING_STATUS=OR","SCALING_FORMAT=MLN","Sort=A","Dates=H","DateFormat=P","Fill=—","Direction=H","UseDPDF=Y")</f>
        <v>66</v>
      </c>
      <c r="AG17" s="13">
        <f>_xll.BDH("AMZN US Equity","OTHER_CURRENT_ASSETS_DETAILED","FQ3 2006","FQ3 2006","Currency=USD","Period=FQ","BEST_FPERIOD_OVERRIDE=FQ","FILING_STATUS=OR","SCALING_FORMAT=MLN","Sort=A","Dates=H","DateFormat=P","Fill=—","Direction=H","UseDPDF=Y")</f>
        <v>79</v>
      </c>
      <c r="AH17" s="13">
        <f>_xll.BDH("AMZN US Equity","OTHER_CURRENT_ASSETS_DETAILED","FQ4 2006","FQ4 2006","Currency=USD","Period=FQ","BEST_FPERIOD_OVERRIDE=FQ","FILING_STATUS=OR","SCALING_FORMAT=MLN","Sort=A","Dates=H","DateFormat=P","Fill=—","Direction=H","UseDPDF=Y")</f>
        <v>78</v>
      </c>
      <c r="AI17" s="13">
        <f>_xll.BDH("AMZN US Equity","OTHER_CURRENT_ASSETS_DETAILED","FQ1 2007","FQ1 2007","Currency=USD","Period=FQ","BEST_FPERIOD_OVERRIDE=FQ","FILING_STATUS=OR","SCALING_FORMAT=MLN","Sort=A","Dates=H","DateFormat=P","Fill=—","Direction=H","UseDPDF=Y")</f>
        <v>68</v>
      </c>
      <c r="AJ17" s="13">
        <f>_xll.BDH("AMZN US Equity","OTHER_CURRENT_ASSETS_DETAILED","FQ2 2007","FQ2 2007","Currency=USD","Period=FQ","BEST_FPERIOD_OVERRIDE=FQ","FILING_STATUS=OR","SCALING_FORMAT=MLN","Sort=A","Dates=H","DateFormat=P","Fill=—","Direction=H","UseDPDF=Y")</f>
        <v>75</v>
      </c>
      <c r="AK17" s="13">
        <f>_xll.BDH("AMZN US Equity","OTHER_CURRENT_ASSETS_DETAILED","FQ3 2007","FQ3 2007","Currency=USD","Period=FQ","BEST_FPERIOD_OVERRIDE=FQ","FILING_STATUS=OR","SCALING_FORMAT=MLN","Sort=A","Dates=H","DateFormat=P","Fill=—","Direction=H","UseDPDF=Y")</f>
        <v>71</v>
      </c>
      <c r="AL17" s="13">
        <f>_xll.BDH("AMZN US Equity","OTHER_CURRENT_ASSETS_DETAILED","FQ4 2007","FQ4 2007","Currency=USD","Period=FQ","BEST_FPERIOD_OVERRIDE=FQ","FILING_STATUS=OR","SCALING_FORMAT=MLN","Sort=A","Dates=H","DateFormat=P","Fill=—","Direction=H","UseDPDF=Y")</f>
        <v>147</v>
      </c>
      <c r="AM17" s="13">
        <f>_xll.BDH("AMZN US Equity","OTHER_CURRENT_ASSETS_DETAILED","FQ1 2008","FQ1 2008","Currency=USD","Period=FQ","BEST_FPERIOD_OVERRIDE=FQ","FILING_STATUS=OR","SCALING_FORMAT=MLN","Sort=A","Dates=H","DateFormat=P","Fill=—","Direction=H","UseDPDF=Y")</f>
        <v>156</v>
      </c>
      <c r="AN17" s="13">
        <f>_xll.BDH("AMZN US Equity","OTHER_CURRENT_ASSETS_DETAILED","FQ2 2008","FQ2 2008","Currency=USD","Period=FQ","BEST_FPERIOD_OVERRIDE=FQ","FILING_STATUS=OR","SCALING_FORMAT=MLN","Sort=A","Dates=H","DateFormat=P","Fill=—","Direction=H","UseDPDF=Y")</f>
        <v>163</v>
      </c>
      <c r="AO17" s="13">
        <f>_xll.BDH("AMZN US Equity","OTHER_CURRENT_ASSETS_DETAILED","FQ3 2008","FQ3 2008","Currency=USD","Period=FQ","BEST_FPERIOD_OVERRIDE=FQ","FILING_STATUS=OR","SCALING_FORMAT=MLN","Sort=A","Dates=H","DateFormat=P","Fill=—","Direction=H","UseDPDF=Y")</f>
        <v>194</v>
      </c>
      <c r="AP17" s="13">
        <f>_xll.BDH("AMZN US Equity","OTHER_CURRENT_ASSETS_DETAILED","FQ4 2008","FQ4 2008","Currency=USD","Period=FQ","BEST_FPERIOD_OVERRIDE=FQ","FILING_STATUS=OR","SCALING_FORMAT=MLN","Sort=A","Dates=H","DateFormat=P","Fill=—","Direction=H","UseDPDF=Y")</f>
        <v>204</v>
      </c>
    </row>
    <row r="18" spans="1:42" x14ac:dyDescent="0.25">
      <c r="A18" s="6" t="s">
        <v>202</v>
      </c>
      <c r="B18" s="6" t="s">
        <v>203</v>
      </c>
      <c r="C18" s="16">
        <f>_xll.BDH("AMZN US Equity","BS_CUR_ASSET_REPORT","FQ4 1998","FQ4 1998","Currency=USD","Period=FQ","BEST_FPERIOD_OVERRIDE=FQ","FILING_STATUS=OR","SCALING_FORMAT=MLN","Sort=A","Dates=H","DateFormat=P","Fill=—","Direction=H","UseDPDF=Y")</f>
        <v>424.25400000000002</v>
      </c>
      <c r="D18" s="16">
        <f>_xll.BDH("AMZN US Equity","BS_CUR_ASSET_REPORT","FQ1 1999","FQ1 1999","Currency=USD","Period=FQ","BEST_FPERIOD_OVERRIDE=FQ","FILING_STATUS=OR","SCALING_FORMAT=MLN","Sort=A","Dates=H","DateFormat=P","Fill=—","Direction=H","UseDPDF=Y")</f>
        <v>1525.278</v>
      </c>
      <c r="E18" s="16">
        <f>_xll.BDH("AMZN US Equity","BS_CUR_ASSET_REPORT","FQ2 1999","FQ2 1999","Currency=USD","Period=FQ","BEST_FPERIOD_OVERRIDE=FQ","FILING_STATUS=OR","SCALING_FORMAT=MLN","Sort=A","Dates=H","DateFormat=P","Fill=—","Direction=H","UseDPDF=Y")</f>
        <v>1256.9580000000001</v>
      </c>
      <c r="F18" s="16">
        <f>_xll.BDH("AMZN US Equity","BS_CUR_ASSET_REPORT","FQ3 1999","FQ3 1999","Currency=USD","Period=FQ","BEST_FPERIOD_OVERRIDE=FQ","FILING_STATUS=OR","SCALING_FORMAT=MLN","Sort=A","Dates=H","DateFormat=P","Fill=—","Direction=H","UseDPDF=Y")</f>
        <v>1080.068</v>
      </c>
      <c r="G18" s="16">
        <f>_xll.BDH("AMZN US Equity","BS_CUR_ASSET_REPORT","FQ4 1999","FQ4 1999","Currency=USD","Period=FQ","BEST_FPERIOD_OVERRIDE=FQ","FILING_STATUS=OR","SCALING_FORMAT=MLN","Sort=A","Dates=H","DateFormat=P","Fill=—","Direction=H","UseDPDF=Y")</f>
        <v>1012.178</v>
      </c>
      <c r="H18" s="16">
        <f>_xll.BDH("AMZN US Equity","BS_CUR_ASSET_REPORT","FQ1 2000","FQ1 2000","Currency=USD","Period=FQ","BEST_FPERIOD_OVERRIDE=FQ","FILING_STATUS=OR","SCALING_FORMAT=MLN","Sort=A","Dates=H","DateFormat=P","Fill=—","Direction=H","UseDPDF=Y")</f>
        <v>1270.9490000000001</v>
      </c>
      <c r="I18" s="16">
        <f>_xll.BDH("AMZN US Equity","BS_CUR_ASSET_REPORT","FQ3 2000","FQ3 2000","Currency=USD","Period=FQ","BEST_FPERIOD_OVERRIDE=FQ","FILING_STATUS=OR","SCALING_FORMAT=MLN","Sort=A","Dates=H","DateFormat=P","Fill=—","Direction=H","UseDPDF=Y")</f>
        <v>1163.085</v>
      </c>
      <c r="J18" s="16">
        <f>_xll.BDH("AMZN US Equity","BS_CUR_ASSET_REPORT","FQ4 2000","FQ4 2000","Currency=USD","Period=FQ","BEST_FPERIOD_OVERRIDE=FQ","FILING_STATUS=OR","SCALING_FORMAT=MLN","Sort=A","Dates=H","DateFormat=P","Fill=—","Direction=H","UseDPDF=Y")</f>
        <v>1361.1289999999999</v>
      </c>
      <c r="K18" s="16">
        <f>_xll.BDH("AMZN US Equity","BS_CUR_ASSET_REPORT","FQ1 2001","FQ1 2001","Currency=USD","Period=FQ","BEST_FPERIOD_OVERRIDE=FQ","FILING_STATUS=OR","SCALING_FORMAT=MLN","Sort=A","Dates=H","DateFormat=P","Fill=—","Direction=H","UseDPDF=Y")</f>
        <v>855.71</v>
      </c>
      <c r="L18" s="16">
        <f>_xll.BDH("AMZN US Equity","BS_CUR_ASSET_REPORT","FQ2 2001","FQ2 2001","Currency=USD","Period=FQ","BEST_FPERIOD_OVERRIDE=FQ","FILING_STATUS=OR","SCALING_FORMAT=MLN","Sort=A","Dates=H","DateFormat=P","Fill=—","Direction=H","UseDPDF=Y")</f>
        <v>809.35699999999997</v>
      </c>
      <c r="M18" s="16">
        <f>_xll.BDH("AMZN US Equity","BS_CUR_ASSET_REPORT","FQ3 2001","FQ3 2001","Currency=USD","Period=FQ","BEST_FPERIOD_OVERRIDE=FQ","FILING_STATUS=OR","SCALING_FORMAT=MLN","Sort=A","Dates=H","DateFormat=P","Fill=—","Direction=H","UseDPDF=Y")</f>
        <v>870.27599999999995</v>
      </c>
      <c r="N18" s="16">
        <f>_xll.BDH("AMZN US Equity","BS_CUR_ASSET_REPORT","FQ4 2001","FQ4 2001","Currency=USD","Period=FQ","BEST_FPERIOD_OVERRIDE=FQ","FILING_STATUS=OR","SCALING_FORMAT=MLN","Sort=A","Dates=H","DateFormat=P","Fill=—","Direction=H","UseDPDF=Y")</f>
        <v>1207.92</v>
      </c>
      <c r="O18" s="16">
        <f>_xll.BDH("AMZN US Equity","BS_CUR_ASSET_REPORT","FQ1 2002","FQ1 2002","Currency=USD","Period=FQ","BEST_FPERIOD_OVERRIDE=FQ","FILING_STATUS=OR","SCALING_FORMAT=MLN","Sort=A","Dates=H","DateFormat=P","Fill=—","Direction=H","UseDPDF=Y")</f>
        <v>954.27300000000002</v>
      </c>
      <c r="P18" s="16">
        <f>_xll.BDH("AMZN US Equity","BS_CUR_ASSET_REPORT","FQ2 2002","FQ2 2002","Currency=USD","Period=FQ","BEST_FPERIOD_OVERRIDE=FQ","FILING_STATUS=OR","SCALING_FORMAT=MLN","Sort=A","Dates=H","DateFormat=P","Fill=—","Direction=H","UseDPDF=Y")</f>
        <v>1043.577</v>
      </c>
      <c r="Q18" s="16">
        <f>_xll.BDH("AMZN US Equity","BS_CUR_ASSET_REPORT","FQ3 2002","FQ3 2002","Currency=USD","Period=FQ","BEST_FPERIOD_OVERRIDE=FQ","FILING_STATUS=OR","SCALING_FORMAT=MLN","Sort=A","Dates=H","DateFormat=P","Fill=—","Direction=H","UseDPDF=Y")</f>
        <v>1119.6070999999999</v>
      </c>
      <c r="R18" s="16">
        <f>_xll.BDH("AMZN US Equity","BS_CUR_ASSET_REPORT","FQ4 2002","FQ4 2002","Currency=USD","Period=FQ","BEST_FPERIOD_OVERRIDE=FQ","FILING_STATUS=OR","SCALING_FORMAT=MLN","Sort=A","Dates=H","DateFormat=P","Fill=—","Direction=H","UseDPDF=Y")</f>
        <v>1615.6759999999999</v>
      </c>
      <c r="S18" s="16">
        <f>_xll.BDH("AMZN US Equity","BS_CUR_ASSET_REPORT","FQ1 2003","FQ1 2003","Currency=USD","Period=FQ","BEST_FPERIOD_OVERRIDE=FQ","FILING_STATUS=OR","SCALING_FORMAT=MLN","Sort=A","Dates=H","DateFormat=P","Fill=—","Direction=H","UseDPDF=Y")</f>
        <v>1344.4960000000001</v>
      </c>
      <c r="T18" s="16">
        <f>_xll.BDH("AMZN US Equity","BS_CUR_ASSET_REPORT","FQ2 2003","FQ2 2003","Currency=USD","Period=FQ","BEST_FPERIOD_OVERRIDE=FQ","FILING_STATUS=OR","SCALING_FORMAT=MLN","Sort=A","Dates=H","DateFormat=P","Fill=—","Direction=H","UseDPDF=Y")</f>
        <v>1251.2539999999999</v>
      </c>
      <c r="U18" s="16">
        <f>_xll.BDH("AMZN US Equity","BS_CUR_ASSET_REPORT","FQ3 2003","FQ3 2003","Currency=USD","Period=FQ","BEST_FPERIOD_OVERRIDE=FQ","FILING_STATUS=OR","SCALING_FORMAT=MLN","Sort=A","Dates=H","DateFormat=P","Fill=—","Direction=H","UseDPDF=Y")</f>
        <v>1410.2</v>
      </c>
      <c r="V18" s="16">
        <f>_xll.BDH("AMZN US Equity","BS_CUR_ASSET_REPORT","FQ4 2003","FQ4 2003","Currency=USD","Period=FQ","BEST_FPERIOD_OVERRIDE=FQ","FILING_STATUS=OR","SCALING_FORMAT=MLN","Sort=A","Dates=H","DateFormat=P","Fill=—","Direction=H","UseDPDF=Y")</f>
        <v>1820.809</v>
      </c>
      <c r="W18" s="16">
        <f>_xll.BDH("AMZN US Equity","BS_CUR_ASSET_REPORT","FQ1 2004","FQ1 2004","Currency=USD","Period=FQ","BEST_FPERIOD_OVERRIDE=FQ","FILING_STATUS=OR","SCALING_FORMAT=MLN","Sort=A","Dates=H","DateFormat=P","Fill=—","Direction=H","UseDPDF=Y")</f>
        <v>1405.5740000000001</v>
      </c>
      <c r="X18" s="16">
        <f>_xll.BDH("AMZN US Equity","BS_CUR_ASSET_REPORT","FQ2 2004","FQ2 2004","Currency=USD","Period=FQ","BEST_FPERIOD_OVERRIDE=FQ","FILING_STATUS=OR","SCALING_FORMAT=MLN","Sort=A","Dates=H","DateFormat=P","Fill=—","Direction=H","UseDPDF=Y")</f>
        <v>1561.192</v>
      </c>
      <c r="Y18" s="16">
        <f>_xll.BDH("AMZN US Equity","BS_CUR_ASSET_REPORT","FQ3 2004","FQ3 2004","Currency=USD","Period=FQ","BEST_FPERIOD_OVERRIDE=FQ","FILING_STATUS=OR","SCALING_FORMAT=MLN","Sort=A","Dates=H","DateFormat=P","Fill=—","Direction=H","UseDPDF=Y")</f>
        <v>1692.7841000000001</v>
      </c>
      <c r="Z18" s="16">
        <f>_xll.BDH("AMZN US Equity","BS_CUR_ASSET_REPORT","FQ4 2004","FQ4 2004","Currency=USD","Period=FQ","BEST_FPERIOD_OVERRIDE=FQ","FILING_STATUS=OR","SCALING_FORMAT=MLN","Sort=A","Dates=H","DateFormat=P","Fill=—","Direction=H","UseDPDF=Y")</f>
        <v>2539.3960000000002</v>
      </c>
      <c r="AA18" s="16">
        <f>_xll.BDH("AMZN US Equity","BS_CUR_ASSET_REPORT","FQ1 2005","FQ1 2005","Currency=USD","Period=FQ","BEST_FPERIOD_OVERRIDE=FQ","FILING_STATUS=OR","SCALING_FORMAT=MLN","Sort=A","Dates=H","DateFormat=P","Fill=—","Direction=H","UseDPDF=Y")</f>
        <v>1793</v>
      </c>
      <c r="AB18" s="16">
        <f>_xll.BDH("AMZN US Equity","BS_CUR_ASSET_REPORT","FQ2 2005","FQ2 2005","Currency=USD","Period=FQ","BEST_FPERIOD_OVERRIDE=FQ","FILING_STATUS=OR","SCALING_FORMAT=MLN","Sort=A","Dates=H","DateFormat=P","Fill=—","Direction=H","UseDPDF=Y")</f>
        <v>1926</v>
      </c>
      <c r="AC18" s="16">
        <f>_xll.BDH("AMZN US Equity","BS_CUR_ASSET_REPORT","FQ3 2005","FQ3 2005","Currency=USD","Period=FQ","BEST_FPERIOD_OVERRIDE=FQ","FILING_STATUS=OR","SCALING_FORMAT=MLN","Sort=A","Dates=H","DateFormat=P","Fill=—","Direction=H","UseDPDF=Y")</f>
        <v>2121</v>
      </c>
      <c r="AD18" s="16">
        <f>_xll.BDH("AMZN US Equity","BS_CUR_ASSET_REPORT","FQ4 2005","FQ4 2005","Currency=USD","Period=FQ","BEST_FPERIOD_OVERRIDE=FQ","FILING_STATUS=OR","SCALING_FORMAT=MLN","Sort=A","Dates=H","DateFormat=P","Fill=—","Direction=H","UseDPDF=Y")</f>
        <v>2929</v>
      </c>
      <c r="AE18" s="16">
        <f>_xll.BDH("AMZN US Equity","BS_CUR_ASSET_REPORT","FQ1 2006","FQ1 2006","Currency=USD","Period=FQ","BEST_FPERIOD_OVERRIDE=FQ","FILING_STATUS=OR","SCALING_FORMAT=MLN","Sort=A","Dates=H","DateFormat=P","Fill=—","Direction=H","UseDPDF=Y")</f>
        <v>2186</v>
      </c>
      <c r="AF18" s="16">
        <f>_xll.BDH("AMZN US Equity","BS_CUR_ASSET_REPORT","FQ2 2006","FQ2 2006","Currency=USD","Period=FQ","BEST_FPERIOD_OVERRIDE=FQ","FILING_STATUS=OR","SCALING_FORMAT=MLN","Sort=A","Dates=H","DateFormat=P","Fill=—","Direction=H","UseDPDF=Y")</f>
        <v>2231</v>
      </c>
      <c r="AG18" s="16">
        <f>_xll.BDH("AMZN US Equity","BS_CUR_ASSET_REPORT","FQ3 2006","FQ3 2006","Currency=USD","Period=FQ","BEST_FPERIOD_OVERRIDE=FQ","FILING_STATUS=OR","SCALING_FORMAT=MLN","Sort=A","Dates=H","DateFormat=P","Fill=—","Direction=H","UseDPDF=Y")</f>
        <v>2315</v>
      </c>
      <c r="AH18" s="16">
        <f>_xll.BDH("AMZN US Equity","BS_CUR_ASSET_REPORT","FQ4 2006","FQ4 2006","Currency=USD","Period=FQ","BEST_FPERIOD_OVERRIDE=FQ","FILING_STATUS=OR","SCALING_FORMAT=MLN","Sort=A","Dates=H","DateFormat=P","Fill=—","Direction=H","UseDPDF=Y")</f>
        <v>3373</v>
      </c>
      <c r="AI18" s="16">
        <f>_xll.BDH("AMZN US Equity","BS_CUR_ASSET_REPORT","FQ1 2007","FQ1 2007","Currency=USD","Period=FQ","BEST_FPERIOD_OVERRIDE=FQ","FILING_STATUS=OR","SCALING_FORMAT=MLN","Sort=A","Dates=H","DateFormat=P","Fill=—","Direction=H","UseDPDF=Y")</f>
        <v>2600</v>
      </c>
      <c r="AJ18" s="16">
        <f>_xll.BDH("AMZN US Equity","BS_CUR_ASSET_REPORT","FQ2 2007","FQ2 2007","Currency=USD","Period=FQ","BEST_FPERIOD_OVERRIDE=FQ","FILING_STATUS=OR","SCALING_FORMAT=MLN","Sort=A","Dates=H","DateFormat=P","Fill=—","Direction=H","UseDPDF=Y")</f>
        <v>2859</v>
      </c>
      <c r="AK18" s="16">
        <f>_xll.BDH("AMZN US Equity","BS_CUR_ASSET_REPORT","FQ3 2007","FQ3 2007","Currency=USD","Period=FQ","BEST_FPERIOD_OVERRIDE=FQ","FILING_STATUS=OR","SCALING_FORMAT=MLN","Sort=A","Dates=H","DateFormat=P","Fill=—","Direction=H","UseDPDF=Y")</f>
        <v>3424</v>
      </c>
      <c r="AL18" s="16">
        <f>_xll.BDH("AMZN US Equity","BS_CUR_ASSET_REPORT","FQ4 2007","FQ4 2007","Currency=USD","Period=FQ","BEST_FPERIOD_OVERRIDE=FQ","FILING_STATUS=OR","SCALING_FORMAT=MLN","Sort=A","Dates=H","DateFormat=P","Fill=—","Direction=H","UseDPDF=Y")</f>
        <v>5164</v>
      </c>
      <c r="AM18" s="16">
        <f>_xll.BDH("AMZN US Equity","BS_CUR_ASSET_REPORT","FQ1 2008","FQ1 2008","Currency=USD","Period=FQ","BEST_FPERIOD_OVERRIDE=FQ","FILING_STATUS=OR","SCALING_FORMAT=MLN","Sort=A","Dates=H","DateFormat=P","Fill=—","Direction=H","UseDPDF=Y")</f>
        <v>3965</v>
      </c>
      <c r="AN18" s="16">
        <f>_xll.BDH("AMZN US Equity","BS_CUR_ASSET_REPORT","FQ2 2008","FQ2 2008","Currency=USD","Period=FQ","BEST_FPERIOD_OVERRIDE=FQ","FILING_STATUS=OR","SCALING_FORMAT=MLN","Sort=A","Dates=H","DateFormat=P","Fill=—","Direction=H","UseDPDF=Y")</f>
        <v>4236</v>
      </c>
      <c r="AO18" s="16">
        <f>_xll.BDH("AMZN US Equity","BS_CUR_ASSET_REPORT","FQ3 2008","FQ3 2008","Currency=USD","Period=FQ","BEST_FPERIOD_OVERRIDE=FQ","FILING_STATUS=OR","SCALING_FORMAT=MLN","Sort=A","Dates=H","DateFormat=P","Fill=—","Direction=H","UseDPDF=Y")</f>
        <v>4430</v>
      </c>
      <c r="AP18" s="16">
        <f>_xll.BDH("AMZN US Equity","BS_CUR_ASSET_REPORT","FQ4 2008","FQ4 2008","Currency=USD","Period=FQ","BEST_FPERIOD_OVERRIDE=FQ","FILING_STATUS=OR","SCALING_FORMAT=MLN","Sort=A","Dates=H","DateFormat=P","Fill=—","Direction=H","UseDPDF=Y")</f>
        <v>6157</v>
      </c>
    </row>
    <row r="19" spans="1:42" x14ac:dyDescent="0.25">
      <c r="A19" s="10" t="s">
        <v>204</v>
      </c>
      <c r="B19" s="10" t="s">
        <v>205</v>
      </c>
      <c r="C19" s="13">
        <f>_xll.BDH("AMZN US Equity","BS_NET_FIX_ASSET","FQ4 1998","FQ4 1998","Currency=USD","Period=FQ","BEST_FPERIOD_OVERRIDE=FQ","FILING_STATUS=OR","SCALING_FORMAT=MLN","Sort=A","Dates=H","DateFormat=P","Fill=—","Direction=H","UseDPDF=Y")</f>
        <v>29.791</v>
      </c>
      <c r="D19" s="13">
        <f>_xll.BDH("AMZN US Equity","BS_NET_FIX_ASSET","FQ1 1999","FQ1 1999","Currency=USD","Period=FQ","BEST_FPERIOD_OVERRIDE=FQ","FILING_STATUS=OR","SCALING_FORMAT=MLN","Sort=A","Dates=H","DateFormat=P","Fill=—","Direction=H","UseDPDF=Y")</f>
        <v>60.6</v>
      </c>
      <c r="E19" s="13">
        <f>_xll.BDH("AMZN US Equity","BS_NET_FIX_ASSET","FQ2 1999","FQ2 1999","Currency=USD","Period=FQ","BEST_FPERIOD_OVERRIDE=FQ","FILING_STATUS=OR","SCALING_FORMAT=MLN","Sort=A","Dates=H","DateFormat=P","Fill=—","Direction=H","UseDPDF=Y")</f>
        <v>156.333</v>
      </c>
      <c r="F19" s="13">
        <f>_xll.BDH("AMZN US Equity","BS_NET_FIX_ASSET","FQ3 1999","FQ3 1999","Currency=USD","Period=FQ","BEST_FPERIOD_OVERRIDE=FQ","FILING_STATUS=OR","SCALING_FORMAT=MLN","Sort=A","Dates=H","DateFormat=P","Fill=—","Direction=H","UseDPDF=Y")</f>
        <v>221.24299999999999</v>
      </c>
      <c r="G19" s="13">
        <f>_xll.BDH("AMZN US Equity","BS_NET_FIX_ASSET","FQ4 1999","FQ4 1999","Currency=USD","Period=FQ","BEST_FPERIOD_OVERRIDE=FQ","FILING_STATUS=OR","SCALING_FORMAT=MLN","Sort=A","Dates=H","DateFormat=P","Fill=—","Direction=H","UseDPDF=Y")</f>
        <v>317.613</v>
      </c>
      <c r="H19" s="13">
        <f>_xll.BDH("AMZN US Equity","BS_NET_FIX_ASSET","FQ1 2000","FQ1 2000","Currency=USD","Period=FQ","BEST_FPERIOD_OVERRIDE=FQ","FILING_STATUS=OR","SCALING_FORMAT=MLN","Sort=A","Dates=H","DateFormat=P","Fill=—","Direction=H","UseDPDF=Y")</f>
        <v>334.39600000000002</v>
      </c>
      <c r="I19" s="13">
        <f>_xll.BDH("AMZN US Equity","BS_NET_FIX_ASSET","FQ3 2000","FQ3 2000","Currency=USD","Period=FQ","BEST_FPERIOD_OVERRIDE=FQ","FILING_STATUS=OR","SCALING_FORMAT=MLN","Sort=A","Dates=H","DateFormat=P","Fill=—","Direction=H","UseDPDF=Y")</f>
        <v>352.29</v>
      </c>
      <c r="J19" s="13">
        <f>_xll.BDH("AMZN US Equity","BS_NET_FIX_ASSET","FQ4 2000","FQ4 2000","Currency=USD","Period=FQ","BEST_FPERIOD_OVERRIDE=FQ","FILING_STATUS=OR","SCALING_FORMAT=MLN","Sort=A","Dates=H","DateFormat=P","Fill=—","Direction=H","UseDPDF=Y")</f>
        <v>366.416</v>
      </c>
      <c r="K19" s="13">
        <f>_xll.BDH("AMZN US Equity","BS_NET_FIX_ASSET","FQ1 2001","FQ1 2001","Currency=USD","Period=FQ","BEST_FPERIOD_OVERRIDE=FQ","FILING_STATUS=OR","SCALING_FORMAT=MLN","Sort=A","Dates=H","DateFormat=P","Fill=—","Direction=H","UseDPDF=Y")</f>
        <v>304.17899999999997</v>
      </c>
      <c r="L19" s="13">
        <f>_xll.BDH("AMZN US Equity","BS_NET_FIX_ASSET","FQ2 2001","FQ2 2001","Currency=USD","Period=FQ","BEST_FPERIOD_OVERRIDE=FQ","FILING_STATUS=OR","SCALING_FORMAT=MLN","Sort=A","Dates=H","DateFormat=P","Fill=—","Direction=H","UseDPDF=Y")</f>
        <v>292.42200000000003</v>
      </c>
      <c r="M19" s="13">
        <f>_xll.BDH("AMZN US Equity","BS_NET_FIX_ASSET","FQ3 2001","FQ3 2001","Currency=USD","Period=FQ","BEST_FPERIOD_OVERRIDE=FQ","FILING_STATUS=OR","SCALING_FORMAT=MLN","Sort=A","Dates=H","DateFormat=P","Fill=—","Direction=H","UseDPDF=Y")</f>
        <v>288.37299999999999</v>
      </c>
      <c r="N19" s="13">
        <f>_xll.BDH("AMZN US Equity","BS_NET_FIX_ASSET","FQ4 2001","FQ4 2001","Currency=USD","Period=FQ","BEST_FPERIOD_OVERRIDE=FQ","FILING_STATUS=OR","SCALING_FORMAT=MLN","Sort=A","Dates=H","DateFormat=P","Fill=—","Direction=H","UseDPDF=Y")</f>
        <v>271.75099999999998</v>
      </c>
      <c r="O19" s="13">
        <f>_xll.BDH("AMZN US Equity","BS_NET_FIX_ASSET","FQ1 2002","FQ1 2002","Currency=USD","Period=FQ","BEST_FPERIOD_OVERRIDE=FQ","FILING_STATUS=OR","SCALING_FORMAT=MLN","Sort=A","Dates=H","DateFormat=P","Fill=—","Direction=H","UseDPDF=Y")</f>
        <v>256.40300000000002</v>
      </c>
      <c r="P19" s="13">
        <f>_xll.BDH("AMZN US Equity","BS_NET_FIX_ASSET","FQ2 2002","FQ2 2002","Currency=USD","Period=FQ","BEST_FPERIOD_OVERRIDE=FQ","FILING_STATUS=OR","SCALING_FORMAT=MLN","Sort=A","Dates=H","DateFormat=P","Fill=—","Direction=H","UseDPDF=Y")</f>
        <v>249.452</v>
      </c>
      <c r="Q19" s="13">
        <f>_xll.BDH("AMZN US Equity","BS_NET_FIX_ASSET","FQ3 2002","FQ3 2002","Currency=USD","Period=FQ","BEST_FPERIOD_OVERRIDE=FQ","FILING_STATUS=OR","SCALING_FORMAT=MLN","Sort=A","Dates=H","DateFormat=P","Fill=—","Direction=H","UseDPDF=Y")</f>
        <v>239.238</v>
      </c>
      <c r="R19" s="13">
        <f>_xll.BDH("AMZN US Equity","BS_NET_FIX_ASSET","FQ4 2002","FQ4 2002","Currency=USD","Period=FQ","BEST_FPERIOD_OVERRIDE=FQ","FILING_STATUS=OR","SCALING_FORMAT=MLN","Sort=A","Dates=H","DateFormat=P","Fill=—","Direction=H","UseDPDF=Y")</f>
        <v>239.398</v>
      </c>
      <c r="S19" s="13">
        <f>_xll.BDH("AMZN US Equity","BS_NET_FIX_ASSET","FQ1 2003","FQ1 2003","Currency=USD","Period=FQ","BEST_FPERIOD_OVERRIDE=FQ","FILING_STATUS=OR","SCALING_FORMAT=MLN","Sort=A","Dates=H","DateFormat=P","Fill=—","Direction=H","UseDPDF=Y")</f>
        <v>228.279</v>
      </c>
      <c r="T19" s="13">
        <f>_xll.BDH("AMZN US Equity","BS_NET_FIX_ASSET","FQ2 2003","FQ2 2003","Currency=USD","Period=FQ","BEST_FPERIOD_OVERRIDE=FQ","FILING_STATUS=OR","SCALING_FORMAT=MLN","Sort=A","Dates=H","DateFormat=P","Fill=—","Direction=H","UseDPDF=Y")</f>
        <v>221.67400000000001</v>
      </c>
      <c r="U19" s="13">
        <f>_xll.BDH("AMZN US Equity","BS_NET_FIX_ASSET","FQ3 2003","FQ3 2003","Currency=USD","Period=FQ","BEST_FPERIOD_OVERRIDE=FQ","FILING_STATUS=OR","SCALING_FORMAT=MLN","Sort=A","Dates=H","DateFormat=P","Fill=—","Direction=H","UseDPDF=Y")</f>
        <v>221.459</v>
      </c>
      <c r="V19" s="13">
        <f>_xll.BDH("AMZN US Equity","BS_NET_FIX_ASSET","FQ4 2003","FQ4 2003","Currency=USD","Period=FQ","BEST_FPERIOD_OVERRIDE=FQ","FILING_STATUS=OR","SCALING_FORMAT=MLN","Sort=A","Dates=H","DateFormat=P","Fill=—","Direction=H","UseDPDF=Y")</f>
        <v>224.285</v>
      </c>
      <c r="W19" s="13">
        <f>_xll.BDH("AMZN US Equity","BS_NET_FIX_ASSET","FQ1 2004","FQ1 2004","Currency=USD","Period=FQ","BEST_FPERIOD_OVERRIDE=FQ","FILING_STATUS=OR","SCALING_FORMAT=MLN","Sort=A","Dates=H","DateFormat=P","Fill=—","Direction=H","UseDPDF=Y")</f>
        <v>217.476</v>
      </c>
      <c r="X19" s="13">
        <f>_xll.BDH("AMZN US Equity","BS_NET_FIX_ASSET","FQ2 2004","FQ2 2004","Currency=USD","Period=FQ","BEST_FPERIOD_OVERRIDE=FQ","FILING_STATUS=OR","SCALING_FORMAT=MLN","Sort=A","Dates=H","DateFormat=P","Fill=—","Direction=H","UseDPDF=Y")</f>
        <v>215.87100000000001</v>
      </c>
      <c r="Y19" s="13">
        <f>_xll.BDH("AMZN US Equity","BS_NET_FIX_ASSET","FQ3 2004","FQ3 2004","Currency=USD","Period=FQ","BEST_FPERIOD_OVERRIDE=FQ","FILING_STATUS=OR","SCALING_FORMAT=MLN","Sort=A","Dates=H","DateFormat=P","Fill=—","Direction=H","UseDPDF=Y")</f>
        <v>226.762</v>
      </c>
      <c r="Z19" s="13">
        <f>_xll.BDH("AMZN US Equity","BS_NET_FIX_ASSET","FQ4 2004","FQ4 2004","Currency=USD","Period=FQ","BEST_FPERIOD_OVERRIDE=FQ","FILING_STATUS=OR","SCALING_FORMAT=MLN","Sort=A","Dates=H","DateFormat=P","Fill=—","Direction=H","UseDPDF=Y")</f>
        <v>246.15600000000001</v>
      </c>
      <c r="AA19" s="13">
        <f>_xll.BDH("AMZN US Equity","BS_NET_FIX_ASSET","FQ1 2005","FQ1 2005","Currency=USD","Period=FQ","BEST_FPERIOD_OVERRIDE=FQ","FILING_STATUS=OR","SCALING_FORMAT=MLN","Sort=A","Dates=H","DateFormat=P","Fill=—","Direction=H","UseDPDF=Y")</f>
        <v>245</v>
      </c>
      <c r="AB19" s="13">
        <f>_xll.BDH("AMZN US Equity","BS_NET_FIX_ASSET","FQ2 2005","FQ2 2005","Currency=USD","Period=FQ","BEST_FPERIOD_OVERRIDE=FQ","FILING_STATUS=OR","SCALING_FORMAT=MLN","Sort=A","Dates=H","DateFormat=P","Fill=—","Direction=H","UseDPDF=Y")</f>
        <v>267</v>
      </c>
      <c r="AC19" s="13">
        <f>_xll.BDH("AMZN US Equity","BS_NET_FIX_ASSET","FQ3 2005","FQ3 2005","Currency=USD","Period=FQ","BEST_FPERIOD_OVERRIDE=FQ","FILING_STATUS=OR","SCALING_FORMAT=MLN","Sort=A","Dates=H","DateFormat=P","Fill=—","Direction=H","UseDPDF=Y")</f>
        <v>322</v>
      </c>
      <c r="AD19" s="13">
        <f>_xll.BDH("AMZN US Equity","BS_NET_FIX_ASSET","FQ4 2005","FQ4 2005","Currency=USD","Period=FQ","BEST_FPERIOD_OVERRIDE=FQ","FILING_STATUS=OR","SCALING_FORMAT=MLN","Sort=A","Dates=H","DateFormat=P","Fill=—","Direction=H","UseDPDF=Y")</f>
        <v>348</v>
      </c>
      <c r="AE19" s="13">
        <f>_xll.BDH("AMZN US Equity","BS_NET_FIX_ASSET","FQ1 2006","FQ1 2006","Currency=USD","Period=FQ","BEST_FPERIOD_OVERRIDE=FQ","FILING_STATUS=OR","SCALING_FORMAT=MLN","Sort=A","Dates=H","DateFormat=P","Fill=—","Direction=H","UseDPDF=Y")</f>
        <v>361</v>
      </c>
      <c r="AF19" s="13">
        <f>_xll.BDH("AMZN US Equity","BS_NET_FIX_ASSET","FQ2 2006","FQ2 2006","Currency=USD","Period=FQ","BEST_FPERIOD_OVERRIDE=FQ","FILING_STATUS=OR","SCALING_FORMAT=MLN","Sort=A","Dates=H","DateFormat=P","Fill=—","Direction=H","UseDPDF=Y")</f>
        <v>405</v>
      </c>
      <c r="AG19" s="13">
        <f>_xll.BDH("AMZN US Equity","BS_NET_FIX_ASSET","FQ3 2006","FQ3 2006","Currency=USD","Period=FQ","BEST_FPERIOD_OVERRIDE=FQ","FILING_STATUS=OR","SCALING_FORMAT=MLN","Sort=A","Dates=H","DateFormat=P","Fill=—","Direction=H","UseDPDF=Y")</f>
        <v>449</v>
      </c>
      <c r="AH19" s="13">
        <f>_xll.BDH("AMZN US Equity","BS_NET_FIX_ASSET","FQ4 2006","FQ4 2006","Currency=USD","Period=FQ","BEST_FPERIOD_OVERRIDE=FQ","FILING_STATUS=OR","SCALING_FORMAT=MLN","Sort=A","Dates=H","DateFormat=P","Fill=—","Direction=H","UseDPDF=Y")</f>
        <v>457</v>
      </c>
      <c r="AI19" s="13">
        <f>_xll.BDH("AMZN US Equity","BS_NET_FIX_ASSET","FQ1 2007","FQ1 2007","Currency=USD","Period=FQ","BEST_FPERIOD_OVERRIDE=FQ","FILING_STATUS=OR","SCALING_FORMAT=MLN","Sort=A","Dates=H","DateFormat=P","Fill=—","Direction=H","UseDPDF=Y")</f>
        <v>442</v>
      </c>
      <c r="AJ19" s="13">
        <f>_xll.BDH("AMZN US Equity","BS_NET_FIX_ASSET","FQ2 2007","FQ2 2007","Currency=USD","Period=FQ","BEST_FPERIOD_OVERRIDE=FQ","FILING_STATUS=OR","SCALING_FORMAT=MLN","Sort=A","Dates=H","DateFormat=P","Fill=—","Direction=H","UseDPDF=Y")</f>
        <v>443</v>
      </c>
      <c r="AK19" s="13">
        <f>_xll.BDH("AMZN US Equity","BS_NET_FIX_ASSET","FQ3 2007","FQ3 2007","Currency=USD","Period=FQ","BEST_FPERIOD_OVERRIDE=FQ","FILING_STATUS=OR","SCALING_FORMAT=MLN","Sort=A","Dates=H","DateFormat=P","Fill=—","Direction=H","UseDPDF=Y")</f>
        <v>491</v>
      </c>
      <c r="AL19" s="13">
        <f>_xll.BDH("AMZN US Equity","BS_NET_FIX_ASSET","FQ4 2007","FQ4 2007","Currency=USD","Period=FQ","BEST_FPERIOD_OVERRIDE=FQ","FILING_STATUS=OR","SCALING_FORMAT=MLN","Sort=A","Dates=H","DateFormat=P","Fill=—","Direction=H","UseDPDF=Y")</f>
        <v>543</v>
      </c>
      <c r="AM19" s="13">
        <f>_xll.BDH("AMZN US Equity","BS_NET_FIX_ASSET","FQ1 2008","FQ1 2008","Currency=USD","Period=FQ","BEST_FPERIOD_OVERRIDE=FQ","FILING_STATUS=OR","SCALING_FORMAT=MLN","Sort=A","Dates=H","DateFormat=P","Fill=—","Direction=H","UseDPDF=Y")</f>
        <v>594</v>
      </c>
      <c r="AN19" s="13">
        <f>_xll.BDH("AMZN US Equity","BS_NET_FIX_ASSET","FQ2 2008","FQ2 2008","Currency=USD","Period=FQ","BEST_FPERIOD_OVERRIDE=FQ","FILING_STATUS=OR","SCALING_FORMAT=MLN","Sort=A","Dates=H","DateFormat=P","Fill=—","Direction=H","UseDPDF=Y")</f>
        <v>651</v>
      </c>
      <c r="AO19" s="13">
        <f>_xll.BDH("AMZN US Equity","BS_NET_FIX_ASSET","FQ3 2008","FQ3 2008","Currency=USD","Period=FQ","BEST_FPERIOD_OVERRIDE=FQ","FILING_STATUS=OR","SCALING_FORMAT=MLN","Sort=A","Dates=H","DateFormat=P","Fill=—","Direction=H","UseDPDF=Y")</f>
        <v>731</v>
      </c>
      <c r="AP19" s="13">
        <f>_xll.BDH("AMZN US Equity","BS_NET_FIX_ASSET","FQ4 2008","FQ4 2008","Currency=USD","Period=FQ","BEST_FPERIOD_OVERRIDE=FQ","FILING_STATUS=OR","SCALING_FORMAT=MLN","Sort=A","Dates=H","DateFormat=P","Fill=—","Direction=H","UseDPDF=Y")</f>
        <v>854</v>
      </c>
    </row>
    <row r="20" spans="1:42" x14ac:dyDescent="0.25">
      <c r="A20" s="10" t="s">
        <v>206</v>
      </c>
      <c r="B20" s="10" t="s">
        <v>207</v>
      </c>
      <c r="C20" s="13">
        <f>_xll.BDH("AMZN US Equity","BS_GROSS_FIX_ASSET","FQ4 1998","FQ4 1998","Currency=USD","Period=FQ","BEST_FPERIOD_OVERRIDE=FQ","FILING_STATUS=OR","SCALING_FORMAT=MLN","Sort=A","Dates=H","DateFormat=P","Fill=—","Direction=H","UseDPDF=Y")</f>
        <v>43.585000000000001</v>
      </c>
      <c r="D20" s="13">
        <f>_xll.BDH("AMZN US Equity","BS_GROSS_FIX_ASSET","FQ1 1999","FQ1 1999","Currency=USD","Period=FQ","BEST_FPERIOD_OVERRIDE=FQ","FILING_STATUS=OR","SCALING_FORMAT=MLN","Sort=A","Dates=H","DateFormat=P","Fill=—","Direction=H","UseDPDF=Y")</f>
        <v>79.385000000000005</v>
      </c>
      <c r="E20" s="13">
        <f>_xll.BDH("AMZN US Equity","BS_GROSS_FIX_ASSET","FQ2 1999","FQ2 1999","Currency=USD","Period=FQ","BEST_FPERIOD_OVERRIDE=FQ","FILING_STATUS=OR","SCALING_FORMAT=MLN","Sort=A","Dates=H","DateFormat=P","Fill=—","Direction=H","UseDPDF=Y")</f>
        <v>183.22800000000001</v>
      </c>
      <c r="F20" s="13">
        <f>_xll.BDH("AMZN US Equity","BS_GROSS_FIX_ASSET","FQ3 1999","FQ3 1999","Currency=USD","Period=FQ","BEST_FPERIOD_OVERRIDE=FQ","FILING_STATUS=OR","SCALING_FORMAT=MLN","Sort=A","Dates=H","DateFormat=P","Fill=—","Direction=H","UseDPDF=Y")</f>
        <v>256.87400000000002</v>
      </c>
      <c r="G20" s="13">
        <f>_xll.BDH("AMZN US Equity","BS_GROSS_FIX_ASSET","FQ4 1999","FQ4 1999","Currency=USD","Period=FQ","BEST_FPERIOD_OVERRIDE=FQ","FILING_STATUS=OR","SCALING_FORMAT=MLN","Sort=A","Dates=H","DateFormat=P","Fill=—","Direction=H","UseDPDF=Y")</f>
        <v>366.97699999999998</v>
      </c>
      <c r="H20" s="13">
        <f>_xll.BDH("AMZN US Equity","BS_GROSS_FIX_ASSET","FQ1 2000","FQ1 2000","Currency=USD","Period=FQ","BEST_FPERIOD_OVERRIDE=FQ","FILING_STATUS=OR","SCALING_FORMAT=MLN","Sort=A","Dates=H","DateFormat=P","Fill=—","Direction=H","UseDPDF=Y")</f>
        <v>400.24599999999998</v>
      </c>
      <c r="I20" s="13">
        <f>_xll.BDH("AMZN US Equity","BS_GROSS_FIX_ASSET","FQ3 2000","FQ3 2000","Currency=USD","Period=FQ","BEST_FPERIOD_OVERRIDE=FQ","FILING_STATUS=OR","SCALING_FORMAT=MLN","Sort=A","Dates=H","DateFormat=P","Fill=—","Direction=H","UseDPDF=Y")</f>
        <v>459.89600000000002</v>
      </c>
      <c r="J20" s="13">
        <f>_xll.BDH("AMZN US Equity","BS_GROSS_FIX_ASSET","FQ4 2000","FQ4 2000","Currency=USD","Period=FQ","BEST_FPERIOD_OVERRIDE=FQ","FILING_STATUS=OR","SCALING_FORMAT=MLN","Sort=A","Dates=H","DateFormat=P","Fill=—","Direction=H","UseDPDF=Y")</f>
        <v>481.26400000000001</v>
      </c>
      <c r="K20" s="13">
        <f>_xll.BDH("AMZN US Equity","BS_GROSS_FIX_ASSET","FQ1 2001","FQ1 2001","Currency=USD","Period=FQ","BEST_FPERIOD_OVERRIDE=FQ","FILING_STATUS=OR","SCALING_FORMAT=MLN","Sort=A","Dates=H","DateFormat=P","Fill=—","Direction=H","UseDPDF=Y")</f>
        <v>425.17099999999999</v>
      </c>
      <c r="L20" s="13">
        <f>_xll.BDH("AMZN US Equity","BS_GROSS_FIX_ASSET","FQ2 2001","FQ2 2001","Currency=USD","Period=FQ","BEST_FPERIOD_OVERRIDE=FQ","FILING_STATUS=OR","SCALING_FORMAT=MLN","Sort=A","Dates=H","DateFormat=P","Fill=—","Direction=H","UseDPDF=Y")</f>
        <v>430.18799999999999</v>
      </c>
      <c r="M20" s="13">
        <f>_xll.BDH("AMZN US Equity","BS_GROSS_FIX_ASSET","FQ3 2001","FQ3 2001","Currency=USD","Period=FQ","BEST_FPERIOD_OVERRIDE=FQ","FILING_STATUS=OR","SCALING_FORMAT=MLN","Sort=A","Dates=H","DateFormat=P","Fill=—","Direction=H","UseDPDF=Y")</f>
        <v>447.47500000000002</v>
      </c>
      <c r="N20" s="13">
        <f>_xll.BDH("AMZN US Equity","BS_GROSS_FIX_ASSET","FQ4 2001","FQ4 2001","Currency=USD","Period=FQ","BEST_FPERIOD_OVERRIDE=FQ","FILING_STATUS=OR","SCALING_FORMAT=MLN","Sort=A","Dates=H","DateFormat=P","Fill=—","Direction=H","UseDPDF=Y")</f>
        <v>438.14299999999997</v>
      </c>
      <c r="O20" s="13" t="str">
        <f>_xll.BDH("AMZN US Equity","BS_GROSS_FIX_ASSET","FQ1 2002","FQ1 2002","Currency=USD","Period=FQ","BEST_FPERIOD_OVERRIDE=FQ","FILING_STATUS=OR","SCALING_FORMAT=MLN","Sort=A","Dates=H","DateFormat=P","Fill=—","Direction=H","UseDPDF=Y")</f>
        <v>—</v>
      </c>
      <c r="P20" s="13" t="str">
        <f>_xll.BDH("AMZN US Equity","BS_GROSS_FIX_ASSET","FQ2 2002","FQ2 2002","Currency=USD","Period=FQ","BEST_FPERIOD_OVERRIDE=FQ","FILING_STATUS=OR","SCALING_FORMAT=MLN","Sort=A","Dates=H","DateFormat=P","Fill=—","Direction=H","UseDPDF=Y")</f>
        <v>—</v>
      </c>
      <c r="Q20" s="13" t="str">
        <f>_xll.BDH("AMZN US Equity","BS_GROSS_FIX_ASSET","FQ3 2002","FQ3 2002","Currency=USD","Period=FQ","BEST_FPERIOD_OVERRIDE=FQ","FILING_STATUS=OR","SCALING_FORMAT=MLN","Sort=A","Dates=H","DateFormat=P","Fill=—","Direction=H","UseDPDF=Y")</f>
        <v>—</v>
      </c>
      <c r="R20" s="13">
        <f>_xll.BDH("AMZN US Equity","BS_GROSS_FIX_ASSET","FQ4 2002","FQ4 2002","Currency=USD","Period=FQ","BEST_FPERIOD_OVERRIDE=FQ","FILING_STATUS=OR","SCALING_FORMAT=MLN","Sort=A","Dates=H","DateFormat=P","Fill=—","Direction=H","UseDPDF=Y")</f>
        <v>482.73599999999999</v>
      </c>
      <c r="S20" s="13" t="str">
        <f>_xll.BDH("AMZN US Equity","BS_GROSS_FIX_ASSET","FQ1 2003","FQ1 2003","Currency=USD","Period=FQ","BEST_FPERIOD_OVERRIDE=FQ","FILING_STATUS=OR","SCALING_FORMAT=MLN","Sort=A","Dates=H","DateFormat=P","Fill=—","Direction=H","UseDPDF=Y")</f>
        <v>—</v>
      </c>
      <c r="T20" s="13" t="str">
        <f>_xll.BDH("AMZN US Equity","BS_GROSS_FIX_ASSET","FQ2 2003","FQ2 2003","Currency=USD","Period=FQ","BEST_FPERIOD_OVERRIDE=FQ","FILING_STATUS=OR","SCALING_FORMAT=MLN","Sort=A","Dates=H","DateFormat=P","Fill=—","Direction=H","UseDPDF=Y")</f>
        <v>—</v>
      </c>
      <c r="U20" s="13" t="str">
        <f>_xll.BDH("AMZN US Equity","BS_GROSS_FIX_ASSET","FQ3 2003","FQ3 2003","Currency=USD","Period=FQ","BEST_FPERIOD_OVERRIDE=FQ","FILING_STATUS=OR","SCALING_FORMAT=MLN","Sort=A","Dates=H","DateFormat=P","Fill=—","Direction=H","UseDPDF=Y")</f>
        <v>—</v>
      </c>
      <c r="V20" s="13">
        <f>_xll.BDH("AMZN US Equity","BS_GROSS_FIX_ASSET","FQ4 2003","FQ4 2003","Currency=USD","Period=FQ","BEST_FPERIOD_OVERRIDE=FQ","FILING_STATUS=OR","SCALING_FORMAT=MLN","Sort=A","Dates=H","DateFormat=P","Fill=—","Direction=H","UseDPDF=Y")</f>
        <v>371.738</v>
      </c>
      <c r="W20" s="13" t="str">
        <f>_xll.BDH("AMZN US Equity","BS_GROSS_FIX_ASSET","FQ1 2004","FQ1 2004","Currency=USD","Period=FQ","BEST_FPERIOD_OVERRIDE=FQ","FILING_STATUS=OR","SCALING_FORMAT=MLN","Sort=A","Dates=H","DateFormat=P","Fill=—","Direction=H","UseDPDF=Y")</f>
        <v>—</v>
      </c>
      <c r="X20" s="13" t="str">
        <f>_xll.BDH("AMZN US Equity","BS_GROSS_FIX_ASSET","FQ2 2004","FQ2 2004","Currency=USD","Period=FQ","BEST_FPERIOD_OVERRIDE=FQ","FILING_STATUS=OR","SCALING_FORMAT=MLN","Sort=A","Dates=H","DateFormat=P","Fill=—","Direction=H","UseDPDF=Y")</f>
        <v>—</v>
      </c>
      <c r="Y20" s="13" t="str">
        <f>_xll.BDH("AMZN US Equity","BS_GROSS_FIX_ASSET","FQ3 2004","FQ3 2004","Currency=USD","Period=FQ","BEST_FPERIOD_OVERRIDE=FQ","FILING_STATUS=OR","SCALING_FORMAT=MLN","Sort=A","Dates=H","DateFormat=P","Fill=—","Direction=H","UseDPDF=Y")</f>
        <v>—</v>
      </c>
      <c r="Z20" s="13">
        <f>_xll.BDH("AMZN US Equity","BS_GROSS_FIX_ASSET","FQ4 2004","FQ4 2004","Currency=USD","Period=FQ","BEST_FPERIOD_OVERRIDE=FQ","FILING_STATUS=OR","SCALING_FORMAT=MLN","Sort=A","Dates=H","DateFormat=P","Fill=—","Direction=H","UseDPDF=Y")</f>
        <v>422.96300000000002</v>
      </c>
      <c r="AA20" s="13" t="str">
        <f>_xll.BDH("AMZN US Equity","BS_GROSS_FIX_ASSET","FQ1 2005","FQ1 2005","Currency=USD","Period=FQ","BEST_FPERIOD_OVERRIDE=FQ","FILING_STATUS=OR","SCALING_FORMAT=MLN","Sort=A","Dates=H","DateFormat=P","Fill=—","Direction=H","UseDPDF=Y")</f>
        <v>—</v>
      </c>
      <c r="AB20" s="13" t="str">
        <f>_xll.BDH("AMZN US Equity","BS_GROSS_FIX_ASSET","FQ2 2005","FQ2 2005","Currency=USD","Period=FQ","BEST_FPERIOD_OVERRIDE=FQ","FILING_STATUS=OR","SCALING_FORMAT=MLN","Sort=A","Dates=H","DateFormat=P","Fill=—","Direction=H","UseDPDF=Y")</f>
        <v>—</v>
      </c>
      <c r="AC20" s="13" t="str">
        <f>_xll.BDH("AMZN US Equity","BS_GROSS_FIX_ASSET","FQ3 2005","FQ3 2005","Currency=USD","Period=FQ","BEST_FPERIOD_OVERRIDE=FQ","FILING_STATUS=OR","SCALING_FORMAT=MLN","Sort=A","Dates=H","DateFormat=P","Fill=—","Direction=H","UseDPDF=Y")</f>
        <v>—</v>
      </c>
      <c r="AD20" s="13">
        <f>_xll.BDH("AMZN US Equity","BS_GROSS_FIX_ASSET","FQ4 2005","FQ4 2005","Currency=USD","Period=FQ","BEST_FPERIOD_OVERRIDE=FQ","FILING_STATUS=OR","SCALING_FORMAT=MLN","Sort=A","Dates=H","DateFormat=P","Fill=—","Direction=H","UseDPDF=Y")</f>
        <v>571</v>
      </c>
      <c r="AE20" s="13" t="str">
        <f>_xll.BDH("AMZN US Equity","BS_GROSS_FIX_ASSET","FQ1 2006","FQ1 2006","Currency=USD","Period=FQ","BEST_FPERIOD_OVERRIDE=FQ","FILING_STATUS=OR","SCALING_FORMAT=MLN","Sort=A","Dates=H","DateFormat=P","Fill=—","Direction=H","UseDPDF=Y")</f>
        <v>—</v>
      </c>
      <c r="AF20" s="13" t="str">
        <f>_xll.BDH("AMZN US Equity","BS_GROSS_FIX_ASSET","FQ2 2006","FQ2 2006","Currency=USD","Period=FQ","BEST_FPERIOD_OVERRIDE=FQ","FILING_STATUS=OR","SCALING_FORMAT=MLN","Sort=A","Dates=H","DateFormat=P","Fill=—","Direction=H","UseDPDF=Y")</f>
        <v>—</v>
      </c>
      <c r="AG20" s="13" t="str">
        <f>_xll.BDH("AMZN US Equity","BS_GROSS_FIX_ASSET","FQ3 2006","FQ3 2006","Currency=USD","Period=FQ","BEST_FPERIOD_OVERRIDE=FQ","FILING_STATUS=OR","SCALING_FORMAT=MLN","Sort=A","Dates=H","DateFormat=P","Fill=—","Direction=H","UseDPDF=Y")</f>
        <v>—</v>
      </c>
      <c r="AH20" s="13">
        <f>_xll.BDH("AMZN US Equity","BS_GROSS_FIX_ASSET","FQ4 2006","FQ4 2006","Currency=USD","Period=FQ","BEST_FPERIOD_OVERRIDE=FQ","FILING_STATUS=OR","SCALING_FORMAT=MLN","Sort=A","Dates=H","DateFormat=P","Fill=—","Direction=H","UseDPDF=Y")</f>
        <v>824</v>
      </c>
      <c r="AI20" s="13" t="str">
        <f>_xll.BDH("AMZN US Equity","BS_GROSS_FIX_ASSET","FQ1 2007","FQ1 2007","Currency=USD","Period=FQ","BEST_FPERIOD_OVERRIDE=FQ","FILING_STATUS=OR","SCALING_FORMAT=MLN","Sort=A","Dates=H","DateFormat=P","Fill=—","Direction=H","UseDPDF=Y")</f>
        <v>—</v>
      </c>
      <c r="AJ20" s="13" t="str">
        <f>_xll.BDH("AMZN US Equity","BS_GROSS_FIX_ASSET","FQ2 2007","FQ2 2007","Currency=USD","Period=FQ","BEST_FPERIOD_OVERRIDE=FQ","FILING_STATUS=OR","SCALING_FORMAT=MLN","Sort=A","Dates=H","DateFormat=P","Fill=—","Direction=H","UseDPDF=Y")</f>
        <v>—</v>
      </c>
      <c r="AK20" s="13" t="str">
        <f>_xll.BDH("AMZN US Equity","BS_GROSS_FIX_ASSET","FQ3 2007","FQ3 2007","Currency=USD","Period=FQ","BEST_FPERIOD_OVERRIDE=FQ","FILING_STATUS=OR","SCALING_FORMAT=MLN","Sort=A","Dates=H","DateFormat=P","Fill=—","Direction=H","UseDPDF=Y")</f>
        <v>—</v>
      </c>
      <c r="AL20" s="13">
        <f>_xll.BDH("AMZN US Equity","BS_GROSS_FIX_ASSET","FQ4 2007","FQ4 2007","Currency=USD","Period=FQ","BEST_FPERIOD_OVERRIDE=FQ","FILING_STATUS=OR","SCALING_FORMAT=MLN","Sort=A","Dates=H","DateFormat=P","Fill=—","Direction=H","UseDPDF=Y")</f>
        <v>1023</v>
      </c>
      <c r="AM20" s="13" t="str">
        <f>_xll.BDH("AMZN US Equity","BS_GROSS_FIX_ASSET","FQ1 2008","FQ1 2008","Currency=USD","Period=FQ","BEST_FPERIOD_OVERRIDE=FQ","FILING_STATUS=OR","SCALING_FORMAT=MLN","Sort=A","Dates=H","DateFormat=P","Fill=—","Direction=H","UseDPDF=Y")</f>
        <v>—</v>
      </c>
      <c r="AN20" s="13" t="str">
        <f>_xll.BDH("AMZN US Equity","BS_GROSS_FIX_ASSET","FQ2 2008","FQ2 2008","Currency=USD","Period=FQ","BEST_FPERIOD_OVERRIDE=FQ","FILING_STATUS=OR","SCALING_FORMAT=MLN","Sort=A","Dates=H","DateFormat=P","Fill=—","Direction=H","UseDPDF=Y")</f>
        <v>—</v>
      </c>
      <c r="AO20" s="13" t="str">
        <f>_xll.BDH("AMZN US Equity","BS_GROSS_FIX_ASSET","FQ3 2008","FQ3 2008","Currency=USD","Period=FQ","BEST_FPERIOD_OVERRIDE=FQ","FILING_STATUS=OR","SCALING_FORMAT=MLN","Sort=A","Dates=H","DateFormat=P","Fill=—","Direction=H","UseDPDF=Y")</f>
        <v>—</v>
      </c>
      <c r="AP20" s="13">
        <f>_xll.BDH("AMZN US Equity","BS_GROSS_FIX_ASSET","FQ4 2008","FQ4 2008","Currency=USD","Period=FQ","BEST_FPERIOD_OVERRIDE=FQ","FILING_STATUS=OR","SCALING_FORMAT=MLN","Sort=A","Dates=H","DateFormat=P","Fill=—","Direction=H","UseDPDF=Y")</f>
        <v>1409</v>
      </c>
    </row>
    <row r="21" spans="1:42" x14ac:dyDescent="0.25">
      <c r="A21" s="10" t="s">
        <v>208</v>
      </c>
      <c r="B21" s="10" t="s">
        <v>209</v>
      </c>
      <c r="C21" s="13">
        <f>_xll.BDH("AMZN US Equity","BS_ACCUM_DEPR","FQ4 1998","FQ4 1998","Currency=USD","Period=FQ","BEST_FPERIOD_OVERRIDE=FQ","FILING_STATUS=OR","SCALING_FORMAT=MLN","Sort=A","Dates=H","DateFormat=P","Fill=—","Direction=H","UseDPDF=Y")</f>
        <v>13.794</v>
      </c>
      <c r="D21" s="13">
        <f>_xll.BDH("AMZN US Equity","BS_ACCUM_DEPR","FQ1 1999","FQ1 1999","Currency=USD","Period=FQ","BEST_FPERIOD_OVERRIDE=FQ","FILING_STATUS=OR","SCALING_FORMAT=MLN","Sort=A","Dates=H","DateFormat=P","Fill=—","Direction=H","UseDPDF=Y")</f>
        <v>18.785</v>
      </c>
      <c r="E21" s="13">
        <f>_xll.BDH("AMZN US Equity","BS_ACCUM_DEPR","FQ2 1999","FQ2 1999","Currency=USD","Period=FQ","BEST_FPERIOD_OVERRIDE=FQ","FILING_STATUS=OR","SCALING_FORMAT=MLN","Sort=A","Dates=H","DateFormat=P","Fill=—","Direction=H","UseDPDF=Y")</f>
        <v>26.895</v>
      </c>
      <c r="F21" s="13">
        <f>_xll.BDH("AMZN US Equity","BS_ACCUM_DEPR","FQ3 1999","FQ3 1999","Currency=USD","Period=FQ","BEST_FPERIOD_OVERRIDE=FQ","FILING_STATUS=OR","SCALING_FORMAT=MLN","Sort=A","Dates=H","DateFormat=P","Fill=—","Direction=H","UseDPDF=Y")</f>
        <v>35.631</v>
      </c>
      <c r="G21" s="13">
        <f>_xll.BDH("AMZN US Equity","BS_ACCUM_DEPR","FQ4 1999","FQ4 1999","Currency=USD","Period=FQ","BEST_FPERIOD_OVERRIDE=FQ","FILING_STATUS=OR","SCALING_FORMAT=MLN","Sort=A","Dates=H","DateFormat=P","Fill=—","Direction=H","UseDPDF=Y")</f>
        <v>49.363999999999997</v>
      </c>
      <c r="H21" s="13">
        <f>_xll.BDH("AMZN US Equity","BS_ACCUM_DEPR","FQ1 2000","FQ1 2000","Currency=USD","Period=FQ","BEST_FPERIOD_OVERRIDE=FQ","FILING_STATUS=OR","SCALING_FORMAT=MLN","Sort=A","Dates=H","DateFormat=P","Fill=—","Direction=H","UseDPDF=Y")</f>
        <v>65.849999999999994</v>
      </c>
      <c r="I21" s="13">
        <f>_xll.BDH("AMZN US Equity","BS_ACCUM_DEPR","FQ3 2000","FQ3 2000","Currency=USD","Period=FQ","BEST_FPERIOD_OVERRIDE=FQ","FILING_STATUS=OR","SCALING_FORMAT=MLN","Sort=A","Dates=H","DateFormat=P","Fill=—","Direction=H","UseDPDF=Y")</f>
        <v>107.60599999999999</v>
      </c>
      <c r="J21" s="13">
        <f>_xll.BDH("AMZN US Equity","BS_ACCUM_DEPR","FQ4 2000","FQ4 2000","Currency=USD","Period=FQ","BEST_FPERIOD_OVERRIDE=FQ","FILING_STATUS=OR","SCALING_FORMAT=MLN","Sort=A","Dates=H","DateFormat=P","Fill=—","Direction=H","UseDPDF=Y")</f>
        <v>114.848</v>
      </c>
      <c r="K21" s="13">
        <f>_xll.BDH("AMZN US Equity","BS_ACCUM_DEPR","FQ1 2001","FQ1 2001","Currency=USD","Period=FQ","BEST_FPERIOD_OVERRIDE=FQ","FILING_STATUS=OR","SCALING_FORMAT=MLN","Sort=A","Dates=H","DateFormat=P","Fill=—","Direction=H","UseDPDF=Y")</f>
        <v>120.992</v>
      </c>
      <c r="L21" s="13">
        <f>_xll.BDH("AMZN US Equity","BS_ACCUM_DEPR","FQ2 2001","FQ2 2001","Currency=USD","Period=FQ","BEST_FPERIOD_OVERRIDE=FQ","FILING_STATUS=OR","SCALING_FORMAT=MLN","Sort=A","Dates=H","DateFormat=P","Fill=—","Direction=H","UseDPDF=Y")</f>
        <v>137.76599999999999</v>
      </c>
      <c r="M21" s="13">
        <f>_xll.BDH("AMZN US Equity","BS_ACCUM_DEPR","FQ3 2001","FQ3 2001","Currency=USD","Period=FQ","BEST_FPERIOD_OVERRIDE=FQ","FILING_STATUS=OR","SCALING_FORMAT=MLN","Sort=A","Dates=H","DateFormat=P","Fill=—","Direction=H","UseDPDF=Y")</f>
        <v>159.102</v>
      </c>
      <c r="N21" s="13">
        <f>_xll.BDH("AMZN US Equity","BS_ACCUM_DEPR","FQ4 2001","FQ4 2001","Currency=USD","Period=FQ","BEST_FPERIOD_OVERRIDE=FQ","FILING_STATUS=OR","SCALING_FORMAT=MLN","Sort=A","Dates=H","DateFormat=P","Fill=—","Direction=H","UseDPDF=Y")</f>
        <v>166.392</v>
      </c>
      <c r="O21" s="13" t="str">
        <f>_xll.BDH("AMZN US Equity","BS_ACCUM_DEPR","FQ1 2002","FQ1 2002","Currency=USD","Period=FQ","BEST_FPERIOD_OVERRIDE=FQ","FILING_STATUS=OR","SCALING_FORMAT=MLN","Sort=A","Dates=H","DateFormat=P","Fill=—","Direction=H","UseDPDF=Y")</f>
        <v>—</v>
      </c>
      <c r="P21" s="13" t="str">
        <f>_xll.BDH("AMZN US Equity","BS_ACCUM_DEPR","FQ2 2002","FQ2 2002","Currency=USD","Period=FQ","BEST_FPERIOD_OVERRIDE=FQ","FILING_STATUS=OR","SCALING_FORMAT=MLN","Sort=A","Dates=H","DateFormat=P","Fill=—","Direction=H","UseDPDF=Y")</f>
        <v>—</v>
      </c>
      <c r="Q21" s="13" t="str">
        <f>_xll.BDH("AMZN US Equity","BS_ACCUM_DEPR","FQ3 2002","FQ3 2002","Currency=USD","Period=FQ","BEST_FPERIOD_OVERRIDE=FQ","FILING_STATUS=OR","SCALING_FORMAT=MLN","Sort=A","Dates=H","DateFormat=P","Fill=—","Direction=H","UseDPDF=Y")</f>
        <v>—</v>
      </c>
      <c r="R21" s="13">
        <f>_xll.BDH("AMZN US Equity","BS_ACCUM_DEPR","FQ4 2002","FQ4 2002","Currency=USD","Period=FQ","BEST_FPERIOD_OVERRIDE=FQ","FILING_STATUS=OR","SCALING_FORMAT=MLN","Sort=A","Dates=H","DateFormat=P","Fill=—","Direction=H","UseDPDF=Y")</f>
        <v>243.33799999999999</v>
      </c>
      <c r="S21" s="13" t="str">
        <f>_xll.BDH("AMZN US Equity","BS_ACCUM_DEPR","FQ1 2003","FQ1 2003","Currency=USD","Period=FQ","BEST_FPERIOD_OVERRIDE=FQ","FILING_STATUS=OR","SCALING_FORMAT=MLN","Sort=A","Dates=H","DateFormat=P","Fill=—","Direction=H","UseDPDF=Y")</f>
        <v>—</v>
      </c>
      <c r="T21" s="13" t="str">
        <f>_xll.BDH("AMZN US Equity","BS_ACCUM_DEPR","FQ2 2003","FQ2 2003","Currency=USD","Period=FQ","BEST_FPERIOD_OVERRIDE=FQ","FILING_STATUS=OR","SCALING_FORMAT=MLN","Sort=A","Dates=H","DateFormat=P","Fill=—","Direction=H","UseDPDF=Y")</f>
        <v>—</v>
      </c>
      <c r="U21" s="13" t="str">
        <f>_xll.BDH("AMZN US Equity","BS_ACCUM_DEPR","FQ3 2003","FQ3 2003","Currency=USD","Period=FQ","BEST_FPERIOD_OVERRIDE=FQ","FILING_STATUS=OR","SCALING_FORMAT=MLN","Sort=A","Dates=H","DateFormat=P","Fill=—","Direction=H","UseDPDF=Y")</f>
        <v>—</v>
      </c>
      <c r="V21" s="13">
        <f>_xll.BDH("AMZN US Equity","BS_ACCUM_DEPR","FQ4 2003","FQ4 2003","Currency=USD","Period=FQ","BEST_FPERIOD_OVERRIDE=FQ","FILING_STATUS=OR","SCALING_FORMAT=MLN","Sort=A","Dates=H","DateFormat=P","Fill=—","Direction=H","UseDPDF=Y")</f>
        <v>147.453</v>
      </c>
      <c r="W21" s="13" t="str">
        <f>_xll.BDH("AMZN US Equity","BS_ACCUM_DEPR","FQ1 2004","FQ1 2004","Currency=USD","Period=FQ","BEST_FPERIOD_OVERRIDE=FQ","FILING_STATUS=OR","SCALING_FORMAT=MLN","Sort=A","Dates=H","DateFormat=P","Fill=—","Direction=H","UseDPDF=Y")</f>
        <v>—</v>
      </c>
      <c r="X21" s="13" t="str">
        <f>_xll.BDH("AMZN US Equity","BS_ACCUM_DEPR","FQ2 2004","FQ2 2004","Currency=USD","Period=FQ","BEST_FPERIOD_OVERRIDE=FQ","FILING_STATUS=OR","SCALING_FORMAT=MLN","Sort=A","Dates=H","DateFormat=P","Fill=—","Direction=H","UseDPDF=Y")</f>
        <v>—</v>
      </c>
      <c r="Y21" s="13" t="str">
        <f>_xll.BDH("AMZN US Equity","BS_ACCUM_DEPR","FQ3 2004","FQ3 2004","Currency=USD","Period=FQ","BEST_FPERIOD_OVERRIDE=FQ","FILING_STATUS=OR","SCALING_FORMAT=MLN","Sort=A","Dates=H","DateFormat=P","Fill=—","Direction=H","UseDPDF=Y")</f>
        <v>—</v>
      </c>
      <c r="Z21" s="13">
        <f>_xll.BDH("AMZN US Equity","BS_ACCUM_DEPR","FQ4 2004","FQ4 2004","Currency=USD","Period=FQ","BEST_FPERIOD_OVERRIDE=FQ","FILING_STATUS=OR","SCALING_FORMAT=MLN","Sort=A","Dates=H","DateFormat=P","Fill=—","Direction=H","UseDPDF=Y")</f>
        <v>176.80699999999999</v>
      </c>
      <c r="AA21" s="13" t="str">
        <f>_xll.BDH("AMZN US Equity","BS_ACCUM_DEPR","FQ1 2005","FQ1 2005","Currency=USD","Period=FQ","BEST_FPERIOD_OVERRIDE=FQ","FILING_STATUS=OR","SCALING_FORMAT=MLN","Sort=A","Dates=H","DateFormat=P","Fill=—","Direction=H","UseDPDF=Y")</f>
        <v>—</v>
      </c>
      <c r="AB21" s="13" t="str">
        <f>_xll.BDH("AMZN US Equity","BS_ACCUM_DEPR","FQ2 2005","FQ2 2005","Currency=USD","Period=FQ","BEST_FPERIOD_OVERRIDE=FQ","FILING_STATUS=OR","SCALING_FORMAT=MLN","Sort=A","Dates=H","DateFormat=P","Fill=—","Direction=H","UseDPDF=Y")</f>
        <v>—</v>
      </c>
      <c r="AC21" s="13" t="str">
        <f>_xll.BDH("AMZN US Equity","BS_ACCUM_DEPR","FQ3 2005","FQ3 2005","Currency=USD","Period=FQ","BEST_FPERIOD_OVERRIDE=FQ","FILING_STATUS=OR","SCALING_FORMAT=MLN","Sort=A","Dates=H","DateFormat=P","Fill=—","Direction=H","UseDPDF=Y")</f>
        <v>—</v>
      </c>
      <c r="AD21" s="13">
        <f>_xll.BDH("AMZN US Equity","BS_ACCUM_DEPR","FQ4 2005","FQ4 2005","Currency=USD","Period=FQ","BEST_FPERIOD_OVERRIDE=FQ","FILING_STATUS=OR","SCALING_FORMAT=MLN","Sort=A","Dates=H","DateFormat=P","Fill=—","Direction=H","UseDPDF=Y")</f>
        <v>223</v>
      </c>
      <c r="AE21" s="13" t="str">
        <f>_xll.BDH("AMZN US Equity","BS_ACCUM_DEPR","FQ1 2006","FQ1 2006","Currency=USD","Period=FQ","BEST_FPERIOD_OVERRIDE=FQ","FILING_STATUS=OR","SCALING_FORMAT=MLN","Sort=A","Dates=H","DateFormat=P","Fill=—","Direction=H","UseDPDF=Y")</f>
        <v>—</v>
      </c>
      <c r="AF21" s="13" t="str">
        <f>_xll.BDH("AMZN US Equity","BS_ACCUM_DEPR","FQ2 2006","FQ2 2006","Currency=USD","Period=FQ","BEST_FPERIOD_OVERRIDE=FQ","FILING_STATUS=OR","SCALING_FORMAT=MLN","Sort=A","Dates=H","DateFormat=P","Fill=—","Direction=H","UseDPDF=Y")</f>
        <v>—</v>
      </c>
      <c r="AG21" s="13" t="str">
        <f>_xll.BDH("AMZN US Equity","BS_ACCUM_DEPR","FQ3 2006","FQ3 2006","Currency=USD","Period=FQ","BEST_FPERIOD_OVERRIDE=FQ","FILING_STATUS=OR","SCALING_FORMAT=MLN","Sort=A","Dates=H","DateFormat=P","Fill=—","Direction=H","UseDPDF=Y")</f>
        <v>—</v>
      </c>
      <c r="AH21" s="13">
        <f>_xll.BDH("AMZN US Equity","BS_ACCUM_DEPR","FQ4 2006","FQ4 2006","Currency=USD","Period=FQ","BEST_FPERIOD_OVERRIDE=FQ","FILING_STATUS=OR","SCALING_FORMAT=MLN","Sort=A","Dates=H","DateFormat=P","Fill=—","Direction=H","UseDPDF=Y")</f>
        <v>367</v>
      </c>
      <c r="AI21" s="13" t="str">
        <f>_xll.BDH("AMZN US Equity","BS_ACCUM_DEPR","FQ1 2007","FQ1 2007","Currency=USD","Period=FQ","BEST_FPERIOD_OVERRIDE=FQ","FILING_STATUS=OR","SCALING_FORMAT=MLN","Sort=A","Dates=H","DateFormat=P","Fill=—","Direction=H","UseDPDF=Y")</f>
        <v>—</v>
      </c>
      <c r="AJ21" s="13" t="str">
        <f>_xll.BDH("AMZN US Equity","BS_ACCUM_DEPR","FQ2 2007","FQ2 2007","Currency=USD","Period=FQ","BEST_FPERIOD_OVERRIDE=FQ","FILING_STATUS=OR","SCALING_FORMAT=MLN","Sort=A","Dates=H","DateFormat=P","Fill=—","Direction=H","UseDPDF=Y")</f>
        <v>—</v>
      </c>
      <c r="AK21" s="13" t="str">
        <f>_xll.BDH("AMZN US Equity","BS_ACCUM_DEPR","FQ3 2007","FQ3 2007","Currency=USD","Period=FQ","BEST_FPERIOD_OVERRIDE=FQ","FILING_STATUS=OR","SCALING_FORMAT=MLN","Sort=A","Dates=H","DateFormat=P","Fill=—","Direction=H","UseDPDF=Y")</f>
        <v>—</v>
      </c>
      <c r="AL21" s="13">
        <f>_xll.BDH("AMZN US Equity","BS_ACCUM_DEPR","FQ4 2007","FQ4 2007","Currency=USD","Period=FQ","BEST_FPERIOD_OVERRIDE=FQ","FILING_STATUS=OR","SCALING_FORMAT=MLN","Sort=A","Dates=H","DateFormat=P","Fill=—","Direction=H","UseDPDF=Y")</f>
        <v>480</v>
      </c>
      <c r="AM21" s="13" t="str">
        <f>_xll.BDH("AMZN US Equity","BS_ACCUM_DEPR","FQ1 2008","FQ1 2008","Currency=USD","Period=FQ","BEST_FPERIOD_OVERRIDE=FQ","FILING_STATUS=OR","SCALING_FORMAT=MLN","Sort=A","Dates=H","DateFormat=P","Fill=—","Direction=H","UseDPDF=Y")</f>
        <v>—</v>
      </c>
      <c r="AN21" s="13" t="str">
        <f>_xll.BDH("AMZN US Equity","BS_ACCUM_DEPR","FQ2 2008","FQ2 2008","Currency=USD","Period=FQ","BEST_FPERIOD_OVERRIDE=FQ","FILING_STATUS=OR","SCALING_FORMAT=MLN","Sort=A","Dates=H","DateFormat=P","Fill=—","Direction=H","UseDPDF=Y")</f>
        <v>—</v>
      </c>
      <c r="AO21" s="13" t="str">
        <f>_xll.BDH("AMZN US Equity","BS_ACCUM_DEPR","FQ3 2008","FQ3 2008","Currency=USD","Period=FQ","BEST_FPERIOD_OVERRIDE=FQ","FILING_STATUS=OR","SCALING_FORMAT=MLN","Sort=A","Dates=H","DateFormat=P","Fill=—","Direction=H","UseDPDF=Y")</f>
        <v>—</v>
      </c>
      <c r="AP21" s="13">
        <f>_xll.BDH("AMZN US Equity","BS_ACCUM_DEPR","FQ4 2008","FQ4 2008","Currency=USD","Period=FQ","BEST_FPERIOD_OVERRIDE=FQ","FILING_STATUS=OR","SCALING_FORMAT=MLN","Sort=A","Dates=H","DateFormat=P","Fill=—","Direction=H","UseDPDF=Y")</f>
        <v>555</v>
      </c>
    </row>
    <row r="22" spans="1:42" x14ac:dyDescent="0.25">
      <c r="A22" s="10" t="s">
        <v>210</v>
      </c>
      <c r="B22" s="10" t="s">
        <v>211</v>
      </c>
      <c r="C22" s="13">
        <f>_xll.BDH("AMZN US Equity","BS_LT_INVEST","FQ4 1998","FQ4 1998","Currency=USD","Period=FQ","BEST_FPERIOD_OVERRIDE=FQ","FILING_STATUS=OR","SCALING_FORMAT=MLN","Sort=A","Dates=H","DateFormat=P","Fill=—","Direction=H","UseDPDF=Y")</f>
        <v>7.74</v>
      </c>
      <c r="D22" s="13">
        <f>_xll.BDH("AMZN US Equity","BS_LT_INVEST","FQ1 1999","FQ1 1999","Currency=USD","Period=FQ","BEST_FPERIOD_OVERRIDE=FQ","FILING_STATUS=OR","SCALING_FORMAT=MLN","Sort=A","Dates=H","DateFormat=P","Fill=—","Direction=H","UseDPDF=Y")</f>
        <v>0</v>
      </c>
      <c r="E22" s="13">
        <f>_xll.BDH("AMZN US Equity","BS_LT_INVEST","FQ2 1999","FQ2 1999","Currency=USD","Period=FQ","BEST_FPERIOD_OVERRIDE=FQ","FILING_STATUS=OR","SCALING_FORMAT=MLN","Sort=A","Dates=H","DateFormat=P","Fill=—","Direction=H","UseDPDF=Y")</f>
        <v>0</v>
      </c>
      <c r="F22" s="13">
        <f>_xll.BDH("AMZN US Equity","BS_LT_INVEST","FQ3 1999","FQ3 1999","Currency=USD","Period=FQ","BEST_FPERIOD_OVERRIDE=FQ","FILING_STATUS=OR","SCALING_FORMAT=MLN","Sort=A","Dates=H","DateFormat=P","Fill=—","Direction=H","UseDPDF=Y")</f>
        <v>196.31700000000001</v>
      </c>
      <c r="G22" s="13">
        <f>_xll.BDH("AMZN US Equity","BS_LT_INVEST","FQ4 1999","FQ4 1999","Currency=USD","Period=FQ","BEST_FPERIOD_OVERRIDE=FQ","FILING_STATUS=OR","SCALING_FORMAT=MLN","Sort=A","Dates=H","DateFormat=P","Fill=—","Direction=H","UseDPDF=Y")</f>
        <v>144.73500000000001</v>
      </c>
      <c r="H22" s="13">
        <f>_xll.BDH("AMZN US Equity","BS_LT_INVEST","FQ1 2000","FQ1 2000","Currency=USD","Period=FQ","BEST_FPERIOD_OVERRIDE=FQ","FILING_STATUS=OR","SCALING_FORMAT=MLN","Sort=A","Dates=H","DateFormat=P","Fill=—","Direction=H","UseDPDF=Y")</f>
        <v>150.78200000000001</v>
      </c>
      <c r="I22" s="13">
        <f>_xll.BDH("AMZN US Equity","BS_LT_INVEST","FQ3 2000","FQ3 2000","Currency=USD","Period=FQ","BEST_FPERIOD_OVERRIDE=FQ","FILING_STATUS=OR","SCALING_FORMAT=MLN","Sort=A","Dates=H","DateFormat=P","Fill=—","Direction=H","UseDPDF=Y")</f>
        <v>73.344999999999999</v>
      </c>
      <c r="J22" s="13">
        <f>_xll.BDH("AMZN US Equity","BS_LT_INVEST","FQ4 2000","FQ4 2000","Currency=USD","Period=FQ","BEST_FPERIOD_OVERRIDE=FQ","FILING_STATUS=OR","SCALING_FORMAT=MLN","Sort=A","Dates=H","DateFormat=P","Fill=—","Direction=H","UseDPDF=Y")</f>
        <v>40.177</v>
      </c>
      <c r="K22" s="13">
        <f>_xll.BDH("AMZN US Equity","BS_LT_INVEST","FQ1 2001","FQ1 2001","Currency=USD","Period=FQ","BEST_FPERIOD_OVERRIDE=FQ","FILING_STATUS=OR","SCALING_FORMAT=MLN","Sort=A","Dates=H","DateFormat=P","Fill=—","Direction=H","UseDPDF=Y")</f>
        <v>51.042000000000002</v>
      </c>
      <c r="L22" s="13">
        <f>_xll.BDH("AMZN US Equity","BS_LT_INVEST","FQ2 2001","FQ2 2001","Currency=USD","Period=FQ","BEST_FPERIOD_OVERRIDE=FQ","FILING_STATUS=OR","SCALING_FORMAT=MLN","Sort=A","Dates=H","DateFormat=P","Fill=—","Direction=H","UseDPDF=Y")</f>
        <v>24.728999999999999</v>
      </c>
      <c r="M22" s="13">
        <f>_xll.BDH("AMZN US Equity","BS_LT_INVEST","FQ3 2001","FQ3 2001","Currency=USD","Period=FQ","BEST_FPERIOD_OVERRIDE=FQ","FILING_STATUS=OR","SCALING_FORMAT=MLN","Sort=A","Dates=H","DateFormat=P","Fill=—","Direction=H","UseDPDF=Y")</f>
        <v>25.347000000000001</v>
      </c>
      <c r="N22" s="13">
        <f>_xll.BDH("AMZN US Equity","BS_LT_INVEST","FQ4 2001","FQ4 2001","Currency=USD","Period=FQ","BEST_FPERIOD_OVERRIDE=FQ","FILING_STATUS=OR","SCALING_FORMAT=MLN","Sort=A","Dates=H","DateFormat=P","Fill=—","Direction=H","UseDPDF=Y")</f>
        <v>17.972000000000001</v>
      </c>
      <c r="O22" s="13">
        <f>_xll.BDH("AMZN US Equity","BS_LT_INVEST","FQ1 2002","FQ1 2002","Currency=USD","Period=FQ","BEST_FPERIOD_OVERRIDE=FQ","FILING_STATUS=OR","SCALING_FORMAT=MLN","Sort=A","Dates=H","DateFormat=P","Fill=—","Direction=H","UseDPDF=Y")</f>
        <v>16.77</v>
      </c>
      <c r="P22" s="13">
        <f>_xll.BDH("AMZN US Equity","BS_LT_INVEST","FQ2 2002","FQ2 2002","Currency=USD","Period=FQ","BEST_FPERIOD_OVERRIDE=FQ","FILING_STATUS=OR","SCALING_FORMAT=MLN","Sort=A","Dates=H","DateFormat=P","Fill=—","Direction=H","UseDPDF=Y")</f>
        <v>15.288</v>
      </c>
      <c r="Q22" s="13">
        <f>_xll.BDH("AMZN US Equity","BS_LT_INVEST","FQ3 2002","FQ3 2002","Currency=USD","Period=FQ","BEST_FPERIOD_OVERRIDE=FQ","FILING_STATUS=OR","SCALING_FORMAT=MLN","Sort=A","Dates=H","DateFormat=P","Fill=—","Direction=H","UseDPDF=Y")</f>
        <v>15.362</v>
      </c>
      <c r="R22" s="13">
        <f>_xll.BDH("AMZN US Equity","BS_LT_INVEST","FQ4 2002","FQ4 2002","Currency=USD","Period=FQ","BEST_FPERIOD_OVERRIDE=FQ","FILING_STATUS=OR","SCALING_FORMAT=MLN","Sort=A","Dates=H","DateFormat=P","Fill=—","Direction=H","UseDPDF=Y")</f>
        <v>15.006</v>
      </c>
      <c r="S22" s="13">
        <f>_xll.BDH("AMZN US Equity","BS_LT_INVEST","FQ1 2003","FQ1 2003","Currency=USD","Period=FQ","BEST_FPERIOD_OVERRIDE=FQ","FILING_STATUS=OR","SCALING_FORMAT=MLN","Sort=A","Dates=H","DateFormat=P","Fill=—","Direction=H","UseDPDF=Y")</f>
        <v>13.452999999999999</v>
      </c>
      <c r="T22" s="13">
        <f>_xll.BDH("AMZN US Equity","BS_LT_INVEST","FQ2 2003","FQ2 2003","Currency=USD","Period=FQ","BEST_FPERIOD_OVERRIDE=FQ","FILING_STATUS=OR","SCALING_FORMAT=MLN","Sort=A","Dates=H","DateFormat=P","Fill=—","Direction=H","UseDPDF=Y")</f>
        <v>12.763999999999999</v>
      </c>
      <c r="U22" s="13">
        <f>_xll.BDH("AMZN US Equity","BS_LT_INVEST","FQ3 2003","FQ3 2003","Currency=USD","Period=FQ","BEST_FPERIOD_OVERRIDE=FQ","FILING_STATUS=OR","SCALING_FORMAT=MLN","Sort=A","Dates=H","DateFormat=P","Fill=—","Direction=H","UseDPDF=Y")</f>
        <v>12.949</v>
      </c>
      <c r="V22" s="13">
        <f>_xll.BDH("AMZN US Equity","BS_LT_INVEST","FQ4 2003","FQ4 2003","Currency=USD","Period=FQ","BEST_FPERIOD_OVERRIDE=FQ","FILING_STATUS=OR","SCALING_FORMAT=MLN","Sort=A","Dates=H","DateFormat=P","Fill=—","Direction=H","UseDPDF=Y")</f>
        <v>14.831</v>
      </c>
      <c r="W22" s="13" t="str">
        <f>_xll.BDH("AMZN US Equity","BS_LT_INVEST","FQ1 2004","FQ1 2004","Currency=USD","Period=FQ","BEST_FPERIOD_OVERRIDE=FQ","FILING_STATUS=OR","SCALING_FORMAT=MLN","Sort=A","Dates=H","DateFormat=P","Fill=—","Direction=H","UseDPDF=Y")</f>
        <v>—</v>
      </c>
      <c r="X22" s="13" t="str">
        <f>_xll.BDH("AMZN US Equity","BS_LT_INVEST","FQ2 2004","FQ2 2004","Currency=USD","Period=FQ","BEST_FPERIOD_OVERRIDE=FQ","FILING_STATUS=OR","SCALING_FORMAT=MLN","Sort=A","Dates=H","DateFormat=P","Fill=—","Direction=H","UseDPDF=Y")</f>
        <v>—</v>
      </c>
      <c r="Y22" s="13" t="str">
        <f>_xll.BDH("AMZN US Equity","BS_LT_INVEST","FQ3 2004","FQ3 2004","Currency=USD","Period=FQ","BEST_FPERIOD_OVERRIDE=FQ","FILING_STATUS=OR","SCALING_FORMAT=MLN","Sort=A","Dates=H","DateFormat=P","Fill=—","Direction=H","UseDPDF=Y")</f>
        <v>—</v>
      </c>
      <c r="Z22" s="13" t="str">
        <f>_xll.BDH("AMZN US Equity","BS_LT_INVEST","FQ4 2004","FQ4 2004","Currency=USD","Period=FQ","BEST_FPERIOD_OVERRIDE=FQ","FILING_STATUS=OR","SCALING_FORMAT=MLN","Sort=A","Dates=H","DateFormat=P","Fill=—","Direction=H","UseDPDF=Y")</f>
        <v>—</v>
      </c>
      <c r="AA22" s="13">
        <f>_xll.BDH("AMZN US Equity","BS_LT_INVEST","FQ1 2005","FQ1 2005","Currency=USD","Period=FQ","BEST_FPERIOD_OVERRIDE=FQ","FILING_STATUS=OR","SCALING_FORMAT=MLN","Sort=A","Dates=H","DateFormat=P","Fill=—","Direction=H","UseDPDF=Y")</f>
        <v>0</v>
      </c>
      <c r="AB22" s="13">
        <f>_xll.BDH("AMZN US Equity","BS_LT_INVEST","FQ2 2005","FQ2 2005","Currency=USD","Period=FQ","BEST_FPERIOD_OVERRIDE=FQ","FILING_STATUS=OR","SCALING_FORMAT=MLN","Sort=A","Dates=H","DateFormat=P","Fill=—","Direction=H","UseDPDF=Y")</f>
        <v>0</v>
      </c>
      <c r="AC22" s="13">
        <f>_xll.BDH("AMZN US Equity","BS_LT_INVEST","FQ3 2005","FQ3 2005","Currency=USD","Period=FQ","BEST_FPERIOD_OVERRIDE=FQ","FILING_STATUS=OR","SCALING_FORMAT=MLN","Sort=A","Dates=H","DateFormat=P","Fill=—","Direction=H","UseDPDF=Y")</f>
        <v>0</v>
      </c>
      <c r="AD22" s="13">
        <f>_xll.BDH("AMZN US Equity","BS_LT_INVEST","FQ4 2005","FQ4 2005","Currency=USD","Period=FQ","BEST_FPERIOD_OVERRIDE=FQ","FILING_STATUS=OR","SCALING_FORMAT=MLN","Sort=A","Dates=H","DateFormat=P","Fill=—","Direction=H","UseDPDF=Y")</f>
        <v>0</v>
      </c>
      <c r="AE22" s="13">
        <f>_xll.BDH("AMZN US Equity","BS_LT_INVEST","FQ1 2006","FQ1 2006","Currency=USD","Period=FQ","BEST_FPERIOD_OVERRIDE=FQ","FILING_STATUS=OR","SCALING_FORMAT=MLN","Sort=A","Dates=H","DateFormat=P","Fill=—","Direction=H","UseDPDF=Y")</f>
        <v>0</v>
      </c>
      <c r="AF22" s="13">
        <f>_xll.BDH("AMZN US Equity","BS_LT_INVEST","FQ2 2006","FQ2 2006","Currency=USD","Period=FQ","BEST_FPERIOD_OVERRIDE=FQ","FILING_STATUS=OR","SCALING_FORMAT=MLN","Sort=A","Dates=H","DateFormat=P","Fill=—","Direction=H","UseDPDF=Y")</f>
        <v>0</v>
      </c>
      <c r="AG22" s="13">
        <f>_xll.BDH("AMZN US Equity","BS_LT_INVEST","FQ3 2006","FQ3 2006","Currency=USD","Period=FQ","BEST_FPERIOD_OVERRIDE=FQ","FILING_STATUS=OR","SCALING_FORMAT=MLN","Sort=A","Dates=H","DateFormat=P","Fill=—","Direction=H","UseDPDF=Y")</f>
        <v>0</v>
      </c>
      <c r="AH22" s="13">
        <f>_xll.BDH("AMZN US Equity","BS_LT_INVEST","FQ4 2006","FQ4 2006","Currency=USD","Period=FQ","BEST_FPERIOD_OVERRIDE=FQ","FILING_STATUS=OR","SCALING_FORMAT=MLN","Sort=A","Dates=H","DateFormat=P","Fill=—","Direction=H","UseDPDF=Y")</f>
        <v>0</v>
      </c>
      <c r="AI22" s="13">
        <f>_xll.BDH("AMZN US Equity","BS_LT_INVEST","FQ1 2007","FQ1 2007","Currency=USD","Period=FQ","BEST_FPERIOD_OVERRIDE=FQ","FILING_STATUS=OR","SCALING_FORMAT=MLN","Sort=A","Dates=H","DateFormat=P","Fill=—","Direction=H","UseDPDF=Y")</f>
        <v>0</v>
      </c>
      <c r="AJ22" s="13">
        <f>_xll.BDH("AMZN US Equity","BS_LT_INVEST","FQ2 2007","FQ2 2007","Currency=USD","Period=FQ","BEST_FPERIOD_OVERRIDE=FQ","FILING_STATUS=OR","SCALING_FORMAT=MLN","Sort=A","Dates=H","DateFormat=P","Fill=—","Direction=H","UseDPDF=Y")</f>
        <v>0</v>
      </c>
      <c r="AK22" s="13">
        <f>_xll.BDH("AMZN US Equity","BS_LT_INVEST","FQ3 2007","FQ3 2007","Currency=USD","Period=FQ","BEST_FPERIOD_OVERRIDE=FQ","FILING_STATUS=OR","SCALING_FORMAT=MLN","Sort=A","Dates=H","DateFormat=P","Fill=—","Direction=H","UseDPDF=Y")</f>
        <v>0</v>
      </c>
      <c r="AL22" s="13">
        <f>_xll.BDH("AMZN US Equity","BS_LT_INVEST","FQ4 2007","FQ4 2007","Currency=USD","Period=FQ","BEST_FPERIOD_OVERRIDE=FQ","FILING_STATUS=OR","SCALING_FORMAT=MLN","Sort=A","Dates=H","DateFormat=P","Fill=—","Direction=H","UseDPDF=Y")</f>
        <v>0</v>
      </c>
      <c r="AM22" s="13">
        <f>_xll.BDH("AMZN US Equity","BS_LT_INVEST","FQ1 2008","FQ1 2008","Currency=USD","Period=FQ","BEST_FPERIOD_OVERRIDE=FQ","FILING_STATUS=OR","SCALING_FORMAT=MLN","Sort=A","Dates=H","DateFormat=P","Fill=—","Direction=H","UseDPDF=Y")</f>
        <v>0</v>
      </c>
      <c r="AN22" s="13">
        <f>_xll.BDH("AMZN US Equity","BS_LT_INVEST","FQ2 2008","FQ2 2008","Currency=USD","Period=FQ","BEST_FPERIOD_OVERRIDE=FQ","FILING_STATUS=OR","SCALING_FORMAT=MLN","Sort=A","Dates=H","DateFormat=P","Fill=—","Direction=H","UseDPDF=Y")</f>
        <v>0</v>
      </c>
      <c r="AO22" s="13">
        <f>_xll.BDH("AMZN US Equity","BS_LT_INVEST","FQ3 2008","FQ3 2008","Currency=USD","Period=FQ","BEST_FPERIOD_OVERRIDE=FQ","FILING_STATUS=OR","SCALING_FORMAT=MLN","Sort=A","Dates=H","DateFormat=P","Fill=—","Direction=H","UseDPDF=Y")</f>
        <v>0</v>
      </c>
      <c r="AP22" s="13" t="str">
        <f>_xll.BDH("AMZN US Equity","BS_LT_INVEST","FQ4 2008","FQ4 2008","Currency=USD","Period=FQ","BEST_FPERIOD_OVERRIDE=FQ","FILING_STATUS=OR","SCALING_FORMAT=MLN","Sort=A","Dates=H","DateFormat=P","Fill=—","Direction=H","UseDPDF=Y")</f>
        <v>—</v>
      </c>
    </row>
    <row r="23" spans="1:42" x14ac:dyDescent="0.25">
      <c r="A23" s="10" t="s">
        <v>212</v>
      </c>
      <c r="B23" s="10" t="s">
        <v>213</v>
      </c>
      <c r="C23" s="13">
        <f>_xll.BDH("AMZN US Equity","BS_OTHER_ASSETS_DEF_CHRG_OTHER","FQ4 1998","FQ4 1998","Currency=USD","Period=FQ","BEST_FPERIOD_OVERRIDE=FQ","FILING_STATUS=OR","SCALING_FORMAT=MLN","Sort=A","Dates=H","DateFormat=P","Fill=—","Direction=H","UseDPDF=Y")</f>
        <v>186.67500000000001</v>
      </c>
      <c r="D23" s="13">
        <f>_xll.BDH("AMZN US Equity","BS_OTHER_ASSETS_DEF_CHRG_OTHER","FQ1 1999","FQ1 1999","Currency=USD","Period=FQ","BEST_FPERIOD_OVERRIDE=FQ","FILING_STATUS=OR","SCALING_FORMAT=MLN","Sort=A","Dates=H","DateFormat=P","Fill=—","Direction=H","UseDPDF=Y")</f>
        <v>227.10599999999999</v>
      </c>
      <c r="E23" s="13">
        <f>_xll.BDH("AMZN US Equity","BS_OTHER_ASSETS_DEF_CHRG_OTHER","FQ2 1999","FQ2 1999","Currency=USD","Period=FQ","BEST_FPERIOD_OVERRIDE=FQ","FILING_STATUS=OR","SCALING_FORMAT=MLN","Sort=A","Dates=H","DateFormat=P","Fill=—","Direction=H","UseDPDF=Y")</f>
        <v>884.923</v>
      </c>
      <c r="F23" s="13">
        <f>_xll.BDH("AMZN US Equity","BS_OTHER_ASSETS_DEF_CHRG_OTHER","FQ3 1999","FQ3 1999","Currency=USD","Period=FQ","BEST_FPERIOD_OVERRIDE=FQ","FILING_STATUS=OR","SCALING_FORMAT=MLN","Sort=A","Dates=H","DateFormat=P","Fill=—","Direction=H","UseDPDF=Y")</f>
        <v>742.17100000000005</v>
      </c>
      <c r="G23" s="13">
        <f>_xll.BDH("AMZN US Equity","BS_OTHER_ASSETS_DEF_CHRG_OTHER","FQ4 1999","FQ4 1999","Currency=USD","Period=FQ","BEST_FPERIOD_OVERRIDE=FQ","FILING_STATUS=OR","SCALING_FORMAT=MLN","Sort=A","Dates=H","DateFormat=P","Fill=—","Direction=H","UseDPDF=Y")</f>
        <v>997.02499999999998</v>
      </c>
      <c r="H23" s="13">
        <f>_xll.BDH("AMZN US Equity","BS_OTHER_ASSETS_DEF_CHRG_OTHER","FQ1 2000","FQ1 2000","Currency=USD","Period=FQ","BEST_FPERIOD_OVERRIDE=FQ","FILING_STATUS=OR","SCALING_FORMAT=MLN","Sort=A","Dates=H","DateFormat=P","Fill=—","Direction=H","UseDPDF=Y")</f>
        <v>973.65200000000004</v>
      </c>
      <c r="I23" s="13">
        <f>_xll.BDH("AMZN US Equity","BS_OTHER_ASSETS_DEF_CHRG_OTHER","FQ3 2000","FQ3 2000","Currency=USD","Period=FQ","BEST_FPERIOD_OVERRIDE=FQ","FILING_STATUS=OR","SCALING_FORMAT=MLN","Sort=A","Dates=H","DateFormat=P","Fill=—","Direction=H","UseDPDF=Y")</f>
        <v>665.90700000000004</v>
      </c>
      <c r="J23" s="13">
        <f>_xll.BDH("AMZN US Equity","BS_OTHER_ASSETS_DEF_CHRG_OTHER","FQ4 2000","FQ4 2000","Currency=USD","Period=FQ","BEST_FPERIOD_OVERRIDE=FQ","FILING_STATUS=OR","SCALING_FORMAT=MLN","Sort=A","Dates=H","DateFormat=P","Fill=—","Direction=H","UseDPDF=Y")</f>
        <v>367.447</v>
      </c>
      <c r="K23" s="13">
        <f>_xll.BDH("AMZN US Equity","BS_OTHER_ASSETS_DEF_CHRG_OTHER","FQ1 2001","FQ1 2001","Currency=USD","Period=FQ","BEST_FPERIOD_OVERRIDE=FQ","FILING_STATUS=OR","SCALING_FORMAT=MLN","Sort=A","Dates=H","DateFormat=P","Fill=—","Direction=H","UseDPDF=Y")</f>
        <v>259.22399999999999</v>
      </c>
      <c r="L23" s="13">
        <f>_xll.BDH("AMZN US Equity","BS_OTHER_ASSETS_DEF_CHRG_OTHER","FQ2 2001","FQ2 2001","Currency=USD","Period=FQ","BEST_FPERIOD_OVERRIDE=FQ","FILING_STATUS=OR","SCALING_FORMAT=MLN","Sort=A","Dates=H","DateFormat=P","Fill=—","Direction=H","UseDPDF=Y")</f>
        <v>218.52799999999999</v>
      </c>
      <c r="M23" s="13">
        <f>_xll.BDH("AMZN US Equity","BS_OTHER_ASSETS_DEF_CHRG_OTHER","FQ3 2001","FQ3 2001","Currency=USD","Period=FQ","BEST_FPERIOD_OVERRIDE=FQ","FILING_STATUS=OR","SCALING_FORMAT=MLN","Sort=A","Dates=H","DateFormat=P","Fill=—","Direction=H","UseDPDF=Y")</f>
        <v>162.37200000000001</v>
      </c>
      <c r="N23" s="13">
        <f>_xll.BDH("AMZN US Equity","BS_OTHER_ASSETS_DEF_CHRG_OTHER","FQ4 2001","FQ4 2001","Currency=USD","Period=FQ","BEST_FPERIOD_OVERRIDE=FQ","FILING_STATUS=OR","SCALING_FORMAT=MLN","Sort=A","Dates=H","DateFormat=P","Fill=—","Direction=H","UseDPDF=Y")</f>
        <v>139.904</v>
      </c>
      <c r="O23" s="13">
        <f>_xll.BDH("AMZN US Equity","BS_OTHER_ASSETS_DEF_CHRG_OTHER","FQ1 2002","FQ1 2002","Currency=USD","Period=FQ","BEST_FPERIOD_OVERRIDE=FQ","FILING_STATUS=OR","SCALING_FORMAT=MLN","Sort=A","Dates=H","DateFormat=P","Fill=—","Direction=H","UseDPDF=Y")</f>
        <v>134.482</v>
      </c>
      <c r="P23" s="13">
        <f>_xll.BDH("AMZN US Equity","BS_OTHER_ASSETS_DEF_CHRG_OTHER","FQ2 2002","FQ2 2002","Currency=USD","Period=FQ","BEST_FPERIOD_OVERRIDE=FQ","FILING_STATUS=OR","SCALING_FORMAT=MLN","Sort=A","Dates=H","DateFormat=P","Fill=—","Direction=H","UseDPDF=Y")</f>
        <v>126.73</v>
      </c>
      <c r="Q23" s="13">
        <f>_xll.BDH("AMZN US Equity","BS_OTHER_ASSETS_DEF_CHRG_OTHER","FQ3 2002","FQ3 2002","Currency=USD","Period=FQ","BEST_FPERIOD_OVERRIDE=FQ","FILING_STATUS=OR","SCALING_FORMAT=MLN","Sort=A","Dates=H","DateFormat=P","Fill=—","Direction=H","UseDPDF=Y")</f>
        <v>123.19799999999999</v>
      </c>
      <c r="R23" s="13">
        <f>_xll.BDH("AMZN US Equity","BS_OTHER_ASSETS_DEF_CHRG_OTHER","FQ4 2002","FQ4 2002","Currency=USD","Period=FQ","BEST_FPERIOD_OVERRIDE=FQ","FILING_STATUS=OR","SCALING_FORMAT=MLN","Sort=A","Dates=H","DateFormat=P","Fill=—","Direction=H","UseDPDF=Y")</f>
        <v>120.369</v>
      </c>
      <c r="S23" s="13">
        <f>_xll.BDH("AMZN US Equity","BS_OTHER_ASSETS_DEF_CHRG_OTHER","FQ1 2003","FQ1 2003","Currency=USD","Period=FQ","BEST_FPERIOD_OVERRIDE=FQ","FILING_STATUS=OR","SCALING_FORMAT=MLN","Sort=A","Dates=H","DateFormat=P","Fill=—","Direction=H","UseDPDF=Y")</f>
        <v>119.705</v>
      </c>
      <c r="T23" s="13">
        <f>_xll.BDH("AMZN US Equity","BS_OTHER_ASSETS_DEF_CHRG_OTHER","FQ2 2003","FQ2 2003","Currency=USD","Period=FQ","BEST_FPERIOD_OVERRIDE=FQ","FILING_STATUS=OR","SCALING_FORMAT=MLN","Sort=A","Dates=H","DateFormat=P","Fill=—","Direction=H","UseDPDF=Y")</f>
        <v>111.16200000000001</v>
      </c>
      <c r="U23" s="13">
        <f>_xll.BDH("AMZN US Equity","BS_OTHER_ASSETS_DEF_CHRG_OTHER","FQ3 2003","FQ3 2003","Currency=USD","Period=FQ","BEST_FPERIOD_OVERRIDE=FQ","FILING_STATUS=OR","SCALING_FORMAT=MLN","Sort=A","Dates=H","DateFormat=P","Fill=—","Direction=H","UseDPDF=Y")</f>
        <v>105.077</v>
      </c>
      <c r="V23" s="13">
        <f>_xll.BDH("AMZN US Equity","BS_OTHER_ASSETS_DEF_CHRG_OTHER","FQ4 2003","FQ4 2003","Currency=USD","Period=FQ","BEST_FPERIOD_OVERRIDE=FQ","FILING_STATUS=OR","SCALING_FORMAT=MLN","Sort=A","Dates=H","DateFormat=P","Fill=—","Direction=H","UseDPDF=Y")</f>
        <v>102.108</v>
      </c>
      <c r="W23" s="13">
        <f>_xll.BDH("AMZN US Equity","BS_OTHER_ASSETS_DEF_CHRG_OTHER","FQ1 2004","FQ1 2004","Currency=USD","Period=FQ","BEST_FPERIOD_OVERRIDE=FQ","FILING_STATUS=OR","SCALING_FORMAT=MLN","Sort=A","Dates=H","DateFormat=P","Fill=—","Direction=H","UseDPDF=Y")</f>
        <v>115.511</v>
      </c>
      <c r="X23" s="13">
        <f>_xll.BDH("AMZN US Equity","BS_OTHER_ASSETS_DEF_CHRG_OTHER","FQ2 2004","FQ2 2004","Currency=USD","Period=FQ","BEST_FPERIOD_OVERRIDE=FQ","FILING_STATUS=OR","SCALING_FORMAT=MLN","Sort=A","Dates=H","DateFormat=P","Fill=—","Direction=H","UseDPDF=Y")</f>
        <v>111.047</v>
      </c>
      <c r="Y23" s="13">
        <f>_xll.BDH("AMZN US Equity","BS_OTHER_ASSETS_DEF_CHRG_OTHER","FQ3 2004","FQ3 2004","Currency=USD","Period=FQ","BEST_FPERIOD_OVERRIDE=FQ","FILING_STATUS=OR","SCALING_FORMAT=MLN","Sort=A","Dates=H","DateFormat=P","Fill=—","Direction=H","UseDPDF=Y")</f>
        <v>189.12200000000001</v>
      </c>
      <c r="Z23" s="13">
        <f>_xll.BDH("AMZN US Equity","BS_OTHER_ASSETS_DEF_CHRG_OTHER","FQ4 2004","FQ4 2004","Currency=USD","Period=FQ","BEST_FPERIOD_OVERRIDE=FQ","FILING_STATUS=OR","SCALING_FORMAT=MLN","Sort=A","Dates=H","DateFormat=P","Fill=—","Direction=H","UseDPDF=Y")</f>
        <v>462.95600000000002</v>
      </c>
      <c r="AA23" s="13">
        <f>_xll.BDH("AMZN US Equity","BS_OTHER_ASSETS_DEF_CHRG_OTHER","FQ1 2005","FQ1 2005","Currency=USD","Period=FQ","BEST_FPERIOD_OVERRIDE=FQ","FILING_STATUS=OR","SCALING_FORMAT=MLN","Sort=A","Dates=H","DateFormat=P","Fill=—","Direction=H","UseDPDF=Y")</f>
        <v>434</v>
      </c>
      <c r="AB23" s="13">
        <f>_xll.BDH("AMZN US Equity","BS_OTHER_ASSETS_DEF_CHRG_OTHER","FQ2 2005","FQ2 2005","Currency=USD","Period=FQ","BEST_FPERIOD_OVERRIDE=FQ","FILING_STATUS=OR","SCALING_FORMAT=MLN","Sort=A","Dates=H","DateFormat=P","Fill=—","Direction=H","UseDPDF=Y")</f>
        <v>408</v>
      </c>
      <c r="AC23" s="13">
        <f>_xll.BDH("AMZN US Equity","BS_OTHER_ASSETS_DEF_CHRG_OTHER","FQ3 2005","FQ3 2005","Currency=USD","Period=FQ","BEST_FPERIOD_OVERRIDE=FQ","FILING_STATUS=OR","SCALING_FORMAT=MLN","Sort=A","Dates=H","DateFormat=P","Fill=—","Direction=H","UseDPDF=Y")</f>
        <v>389</v>
      </c>
      <c r="AD23" s="13">
        <f>_xll.BDH("AMZN US Equity","BS_OTHER_ASSETS_DEF_CHRG_OTHER","FQ4 2005","FQ4 2005","Currency=USD","Period=FQ","BEST_FPERIOD_OVERRIDE=FQ","FILING_STATUS=OR","SCALING_FORMAT=MLN","Sort=A","Dates=H","DateFormat=P","Fill=—","Direction=H","UseDPDF=Y")</f>
        <v>419</v>
      </c>
      <c r="AE23" s="13">
        <f>_xll.BDH("AMZN US Equity","BS_OTHER_ASSETS_DEF_CHRG_OTHER","FQ1 2006","FQ1 2006","Currency=USD","Period=FQ","BEST_FPERIOD_OVERRIDE=FQ","FILING_STATUS=OR","SCALING_FORMAT=MLN","Sort=A","Dates=H","DateFormat=P","Fill=—","Direction=H","UseDPDF=Y")</f>
        <v>443</v>
      </c>
      <c r="AF23" s="13">
        <f>_xll.BDH("AMZN US Equity","BS_OTHER_ASSETS_DEF_CHRG_OTHER","FQ2 2006","FQ2 2006","Currency=USD","Period=FQ","BEST_FPERIOD_OVERRIDE=FQ","FILING_STATUS=OR","SCALING_FORMAT=MLN","Sort=A","Dates=H","DateFormat=P","Fill=—","Direction=H","UseDPDF=Y")</f>
        <v>529</v>
      </c>
      <c r="AG23" s="13">
        <f>_xll.BDH("AMZN US Equity","BS_OTHER_ASSETS_DEF_CHRG_OTHER","FQ3 2006","FQ3 2006","Currency=USD","Period=FQ","BEST_FPERIOD_OVERRIDE=FQ","FILING_STATUS=OR","SCALING_FORMAT=MLN","Sort=A","Dates=H","DateFormat=P","Fill=—","Direction=H","UseDPDF=Y")</f>
        <v>504</v>
      </c>
      <c r="AH23" s="13">
        <f>_xll.BDH("AMZN US Equity","BS_OTHER_ASSETS_DEF_CHRG_OTHER","FQ4 2006","FQ4 2006","Currency=USD","Period=FQ","BEST_FPERIOD_OVERRIDE=FQ","FILING_STATUS=OR","SCALING_FORMAT=MLN","Sort=A","Dates=H","DateFormat=P","Fill=—","Direction=H","UseDPDF=Y")</f>
        <v>533</v>
      </c>
      <c r="AI23" s="13">
        <f>_xll.BDH("AMZN US Equity","BS_OTHER_ASSETS_DEF_CHRG_OTHER","FQ1 2007","FQ1 2007","Currency=USD","Period=FQ","BEST_FPERIOD_OVERRIDE=FQ","FILING_STATUS=OR","SCALING_FORMAT=MLN","Sort=A","Dates=H","DateFormat=P","Fill=—","Direction=H","UseDPDF=Y")</f>
        <v>619</v>
      </c>
      <c r="AJ23" s="13">
        <f>_xll.BDH("AMZN US Equity","BS_OTHER_ASSETS_DEF_CHRG_OTHER","FQ2 2007","FQ2 2007","Currency=USD","Period=FQ","BEST_FPERIOD_OVERRIDE=FQ","FILING_STATUS=OR","SCALING_FORMAT=MLN","Sort=A","Dates=H","DateFormat=P","Fill=—","Direction=H","UseDPDF=Y")</f>
        <v>682</v>
      </c>
      <c r="AK23" s="13">
        <f>_xll.BDH("AMZN US Equity","BS_OTHER_ASSETS_DEF_CHRG_OTHER","FQ3 2007","FQ3 2007","Currency=USD","Period=FQ","BEST_FPERIOD_OVERRIDE=FQ","FILING_STATUS=OR","SCALING_FORMAT=MLN","Sort=A","Dates=H","DateFormat=P","Fill=—","Direction=H","UseDPDF=Y")</f>
        <v>703</v>
      </c>
      <c r="AL23" s="13">
        <f>_xll.BDH("AMZN US Equity","BS_OTHER_ASSETS_DEF_CHRG_OTHER","FQ4 2007","FQ4 2007","Currency=USD","Period=FQ","BEST_FPERIOD_OVERRIDE=FQ","FILING_STATUS=OR","SCALING_FORMAT=MLN","Sort=A","Dates=H","DateFormat=P","Fill=—","Direction=H","UseDPDF=Y")</f>
        <v>778</v>
      </c>
      <c r="AM23" s="13">
        <f>_xll.BDH("AMZN US Equity","BS_OTHER_ASSETS_DEF_CHRG_OTHER","FQ1 2008","FQ1 2008","Currency=USD","Period=FQ","BEST_FPERIOD_OVERRIDE=FQ","FILING_STATUS=OR","SCALING_FORMAT=MLN","Sort=A","Dates=H","DateFormat=P","Fill=—","Direction=H","UseDPDF=Y")</f>
        <v>1324</v>
      </c>
      <c r="AN23" s="13">
        <f>_xll.BDH("AMZN US Equity","BS_OTHER_ASSETS_DEF_CHRG_OTHER","FQ2 2008","FQ2 2008","Currency=USD","Period=FQ","BEST_FPERIOD_OVERRIDE=FQ","FILING_STATUS=OR","SCALING_FORMAT=MLN","Sort=A","Dates=H","DateFormat=P","Fill=—","Direction=H","UseDPDF=Y")</f>
        <v>1435</v>
      </c>
      <c r="AO23" s="13">
        <f>_xll.BDH("AMZN US Equity","BS_OTHER_ASSETS_DEF_CHRG_OTHER","FQ3 2008","FQ3 2008","Currency=USD","Period=FQ","BEST_FPERIOD_OVERRIDE=FQ","FILING_STATUS=OR","SCALING_FORMAT=MLN","Sort=A","Dates=H","DateFormat=P","Fill=—","Direction=H","UseDPDF=Y")</f>
        <v>1405</v>
      </c>
      <c r="AP23" s="13">
        <f>_xll.BDH("AMZN US Equity","BS_OTHER_ASSETS_DEF_CHRG_OTHER","FQ4 2008","FQ4 2008","Currency=USD","Period=FQ","BEST_FPERIOD_OVERRIDE=FQ","FILING_STATUS=OR","SCALING_FORMAT=MLN","Sort=A","Dates=H","DateFormat=P","Fill=—","Direction=H","UseDPDF=Y")</f>
        <v>1303</v>
      </c>
    </row>
    <row r="24" spans="1:42" x14ac:dyDescent="0.25">
      <c r="A24" s="10" t="s">
        <v>214</v>
      </c>
      <c r="B24" s="10" t="s">
        <v>215</v>
      </c>
      <c r="C24" s="13">
        <f>_xll.BDH("AMZN US Equity","BS_DISCLOSED_INTANGIBLES","FQ4 1998","FQ4 1998","Currency=USD","Period=FQ","BEST_FPERIOD_OVERRIDE=FQ","FILING_STATUS=OR","SCALING_FORMAT=MLN","Sort=A","Dates=H","DateFormat=P","Fill=—","Direction=H","UseDPDF=Y")</f>
        <v>186.37700000000001</v>
      </c>
      <c r="D24" s="13">
        <f>_xll.BDH("AMZN US Equity","BS_DISCLOSED_INTANGIBLES","FQ1 1999","FQ1 1999","Currency=USD","Period=FQ","BEST_FPERIOD_OVERRIDE=FQ","FILING_STATUS=OR","SCALING_FORMAT=MLN","Sort=A","Dates=H","DateFormat=P","Fill=—","Direction=H","UseDPDF=Y")</f>
        <v>187.19399999999999</v>
      </c>
      <c r="E24" s="13">
        <f>_xll.BDH("AMZN US Equity","BS_DISCLOSED_INTANGIBLES","FQ2 1999","FQ2 1999","Currency=USD","Period=FQ","BEST_FPERIOD_OVERRIDE=FQ","FILING_STATUS=OR","SCALING_FORMAT=MLN","Sort=A","Dates=H","DateFormat=P","Fill=—","Direction=H","UseDPDF=Y")</f>
        <v>657.1</v>
      </c>
      <c r="F24" s="13">
        <f>_xll.BDH("AMZN US Equity","BS_DISCLOSED_INTANGIBLES","FQ3 1999","FQ3 1999","Currency=USD","Period=FQ","BEST_FPERIOD_OVERRIDE=FQ","FILING_STATUS=OR","SCALING_FORMAT=MLN","Sort=A","Dates=H","DateFormat=P","Fill=—","Direction=H","UseDPDF=Y")</f>
        <v>705.93200000000002</v>
      </c>
      <c r="G24" s="13">
        <f>_xll.BDH("AMZN US Equity","BS_DISCLOSED_INTANGIBLES","FQ4 1999","FQ4 1999","Currency=USD","Period=FQ","BEST_FPERIOD_OVERRIDE=FQ","FILING_STATUS=OR","SCALING_FORMAT=MLN","Sort=A","Dates=H","DateFormat=P","Fill=—","Direction=H","UseDPDF=Y")</f>
        <v>534.69899999999996</v>
      </c>
      <c r="H24" s="13">
        <f>_xll.BDH("AMZN US Equity","BS_DISCLOSED_INTANGIBLES","FQ1 2000","FQ1 2000","Currency=USD","Period=FQ","BEST_FPERIOD_OVERRIDE=FQ","FILING_STATUS=OR","SCALING_FORMAT=MLN","Sort=A","Dates=H","DateFormat=P","Fill=—","Direction=H","UseDPDF=Y")</f>
        <v>647.19200000000001</v>
      </c>
      <c r="I24" s="13">
        <f>_xll.BDH("AMZN US Equity","BS_DISCLOSED_INTANGIBLES","FQ3 2000","FQ3 2000","Currency=USD","Period=FQ","BEST_FPERIOD_OVERRIDE=FQ","FILING_STATUS=OR","SCALING_FORMAT=MLN","Sort=A","Dates=H","DateFormat=P","Fill=—","Direction=H","UseDPDF=Y")</f>
        <v>520.47</v>
      </c>
      <c r="J24" s="13">
        <f>_xll.BDH("AMZN US Equity","BS_DISCLOSED_INTANGIBLES","FQ4 2000","FQ4 2000","Currency=USD","Period=FQ","BEST_FPERIOD_OVERRIDE=FQ","FILING_STATUS=OR","SCALING_FORMAT=MLN","Sort=A","Dates=H","DateFormat=P","Fill=—","Direction=H","UseDPDF=Y")</f>
        <v>255.32499999999999</v>
      </c>
      <c r="K24" s="13">
        <f>_xll.BDH("AMZN US Equity","BS_DISCLOSED_INTANGIBLES","FQ1 2001","FQ1 2001","Currency=USD","Period=FQ","BEST_FPERIOD_OVERRIDE=FQ","FILING_STATUS=OR","SCALING_FORMAT=MLN","Sort=A","Dates=H","DateFormat=P","Fill=—","Direction=H","UseDPDF=Y")</f>
        <v>204.42</v>
      </c>
      <c r="L24" s="13">
        <f>_xll.BDH("AMZN US Equity","BS_DISCLOSED_INTANGIBLES","FQ2 2001","FQ2 2001","Currency=USD","Period=FQ","BEST_FPERIOD_OVERRIDE=FQ","FILING_STATUS=OR","SCALING_FORMAT=MLN","Sort=A","Dates=H","DateFormat=P","Fill=—","Direction=H","UseDPDF=Y")</f>
        <v>152.89500000000001</v>
      </c>
      <c r="M24" s="13">
        <f>_xll.BDH("AMZN US Equity","BS_DISCLOSED_INTANGIBLES","FQ3 2001","FQ3 2001","Currency=USD","Period=FQ","BEST_FPERIOD_OVERRIDE=FQ","FILING_STATUS=OR","SCALING_FORMAT=MLN","Sort=A","Dates=H","DateFormat=P","Fill=—","Direction=H","UseDPDF=Y")</f>
        <v>111.06100000000001</v>
      </c>
      <c r="N24" s="13">
        <f>_xll.BDH("AMZN US Equity","BS_DISCLOSED_INTANGIBLES","FQ4 2001","FQ4 2001","Currency=USD","Period=FQ","BEST_FPERIOD_OVERRIDE=FQ","FILING_STATUS=OR","SCALING_FORMAT=MLN","Sort=A","Dates=H","DateFormat=P","Fill=—","Direction=H","UseDPDF=Y")</f>
        <v>79.748999999999995</v>
      </c>
      <c r="O24" s="13">
        <f>_xll.BDH("AMZN US Equity","BS_DISCLOSED_INTANGIBLES","FQ1 2002","FQ1 2002","Currency=USD","Period=FQ","BEST_FPERIOD_OVERRIDE=FQ","FILING_STATUS=OR","SCALING_FORMAT=MLN","Sort=A","Dates=H","DateFormat=P","Fill=—","Direction=H","UseDPDF=Y")</f>
        <v>77.77</v>
      </c>
      <c r="P24" s="13">
        <f>_xll.BDH("AMZN US Equity","BS_DISCLOSED_INTANGIBLES","FQ2 2002","FQ2 2002","Currency=USD","Period=FQ","BEST_FPERIOD_OVERRIDE=FQ","FILING_STATUS=OR","SCALING_FORMAT=MLN","Sort=A","Dates=H","DateFormat=P","Fill=—","Direction=H","UseDPDF=Y")</f>
        <v>76.396000000000001</v>
      </c>
      <c r="Q24" s="13">
        <f>_xll.BDH("AMZN US Equity","BS_DISCLOSED_INTANGIBLES","FQ3 2002","FQ3 2002","Currency=USD","Period=FQ","BEST_FPERIOD_OVERRIDE=FQ","FILING_STATUS=OR","SCALING_FORMAT=MLN","Sort=A","Dates=H","DateFormat=P","Fill=—","Direction=H","UseDPDF=Y")</f>
        <v>75.183999999999997</v>
      </c>
      <c r="R24" s="13">
        <f>_xll.BDH("AMZN US Equity","BS_DISCLOSED_INTANGIBLES","FQ4 2002","FQ4 2002","Currency=USD","Period=FQ","BEST_FPERIOD_OVERRIDE=FQ","FILING_STATUS=OR","SCALING_FORMAT=MLN","Sort=A","Dates=H","DateFormat=P","Fill=—","Direction=H","UseDPDF=Y")</f>
        <v>74.271000000000001</v>
      </c>
      <c r="S24" s="13">
        <f>_xll.BDH("AMZN US Equity","BS_DISCLOSED_INTANGIBLES","FQ1 2003","FQ1 2003","Currency=USD","Period=FQ","BEST_FPERIOD_OVERRIDE=FQ","FILING_STATUS=OR","SCALING_FORMAT=MLN","Sort=A","Dates=H","DateFormat=P","Fill=—","Direction=H","UseDPDF=Y")</f>
        <v>73.358999999999995</v>
      </c>
      <c r="T24" s="13">
        <f>_xll.BDH("AMZN US Equity","BS_DISCLOSED_INTANGIBLES","FQ2 2003","FQ2 2003","Currency=USD","Period=FQ","BEST_FPERIOD_OVERRIDE=FQ","FILING_STATUS=OR","SCALING_FORMAT=MLN","Sort=A","Dates=H","DateFormat=P","Fill=—","Direction=H","UseDPDF=Y")</f>
        <v>72.445999999999998</v>
      </c>
      <c r="U24" s="13">
        <f>_xll.BDH("AMZN US Equity","BS_DISCLOSED_INTANGIBLES","FQ3 2003","FQ3 2003","Currency=USD","Period=FQ","BEST_FPERIOD_OVERRIDE=FQ","FILING_STATUS=OR","SCALING_FORMAT=MLN","Sort=A","Dates=H","DateFormat=P","Fill=—","Direction=H","UseDPDF=Y")</f>
        <v>69.78</v>
      </c>
      <c r="V24" s="13">
        <f>_xll.BDH("AMZN US Equity","BS_DISCLOSED_INTANGIBLES","FQ4 2003","FQ4 2003","Currency=USD","Period=FQ","BEST_FPERIOD_OVERRIDE=FQ","FILING_STATUS=OR","SCALING_FORMAT=MLN","Sort=A","Dates=H","DateFormat=P","Fill=—","Direction=H","UseDPDF=Y")</f>
        <v>69.638999999999996</v>
      </c>
      <c r="W24" s="13">
        <f>_xll.BDH("AMZN US Equity","BS_DISCLOSED_INTANGIBLES","FQ1 2004","FQ1 2004","Currency=USD","Period=FQ","BEST_FPERIOD_OVERRIDE=FQ","FILING_STATUS=OR","SCALING_FORMAT=MLN","Sort=A","Dates=H","DateFormat=P","Fill=—","Direction=H","UseDPDF=Y")</f>
        <v>69.120999999999995</v>
      </c>
      <c r="X24" s="13">
        <f>_xll.BDH("AMZN US Equity","BS_DISCLOSED_INTANGIBLES","FQ2 2004","FQ2 2004","Currency=USD","Period=FQ","BEST_FPERIOD_OVERRIDE=FQ","FILING_STATUS=OR","SCALING_FORMAT=MLN","Sort=A","Dates=H","DateFormat=P","Fill=—","Direction=H","UseDPDF=Y")</f>
        <v>69.120999999999995</v>
      </c>
      <c r="Y24" s="13">
        <f>_xll.BDH("AMZN US Equity","BS_DISCLOSED_INTANGIBLES","FQ3 2004","FQ3 2004","Currency=USD","Period=FQ","BEST_FPERIOD_OVERRIDE=FQ","FILING_STATUS=OR","SCALING_FORMAT=MLN","Sort=A","Dates=H","DateFormat=P","Fill=—","Direction=H","UseDPDF=Y")</f>
        <v>137.584</v>
      </c>
      <c r="Z24" s="13">
        <f>_xll.BDH("AMZN US Equity","BS_DISCLOSED_INTANGIBLES","FQ4 2004","FQ4 2004","Currency=USD","Period=FQ","BEST_FPERIOD_OVERRIDE=FQ","FILING_STATUS=OR","SCALING_FORMAT=MLN","Sort=A","Dates=H","DateFormat=P","Fill=—","Direction=H","UseDPDF=Y")</f>
        <v>138.999</v>
      </c>
      <c r="AA24" s="13">
        <f>_xll.BDH("AMZN US Equity","BS_DISCLOSED_INTANGIBLES","FQ1 2005","FQ1 2005","Currency=USD","Period=FQ","BEST_FPERIOD_OVERRIDE=FQ","FILING_STATUS=OR","SCALING_FORMAT=MLN","Sort=A","Dates=H","DateFormat=P","Fill=—","Direction=H","UseDPDF=Y")</f>
        <v>161.69999999999999</v>
      </c>
      <c r="AB24" s="13">
        <f>_xll.BDH("AMZN US Equity","BS_DISCLOSED_INTANGIBLES","FQ2 2005","FQ2 2005","Currency=USD","Period=FQ","BEST_FPERIOD_OVERRIDE=FQ","FILING_STATUS=OR","SCALING_FORMAT=MLN","Sort=A","Dates=H","DateFormat=P","Fill=—","Direction=H","UseDPDF=Y")</f>
        <v>154</v>
      </c>
      <c r="AC24" s="13">
        <f>_xll.BDH("AMZN US Equity","BS_DISCLOSED_INTANGIBLES","FQ3 2005","FQ3 2005","Currency=USD","Period=FQ","BEST_FPERIOD_OVERRIDE=FQ","FILING_STATUS=OR","SCALING_FORMAT=MLN","Sort=A","Dates=H","DateFormat=P","Fill=—","Direction=H","UseDPDF=Y")</f>
        <v>159</v>
      </c>
      <c r="AD24" s="13">
        <f>_xll.BDH("AMZN US Equity","BS_DISCLOSED_INTANGIBLES","FQ4 2005","FQ4 2005","Currency=USD","Period=FQ","BEST_FPERIOD_OVERRIDE=FQ","FILING_STATUS=OR","SCALING_FORMAT=MLN","Sort=A","Dates=H","DateFormat=P","Fill=—","Direction=H","UseDPDF=Y")</f>
        <v>170</v>
      </c>
      <c r="AE24" s="13">
        <f>_xll.BDH("AMZN US Equity","BS_DISCLOSED_INTANGIBLES","FQ1 2006","FQ1 2006","Currency=USD","Period=FQ","BEST_FPERIOD_OVERRIDE=FQ","FILING_STATUS=OR","SCALING_FORMAT=MLN","Sort=A","Dates=H","DateFormat=P","Fill=—","Direction=H","UseDPDF=Y")</f>
        <v>193</v>
      </c>
      <c r="AF24" s="13">
        <f>_xll.BDH("AMZN US Equity","BS_DISCLOSED_INTANGIBLES","FQ2 2006","FQ2 2006","Currency=USD","Period=FQ","BEST_FPERIOD_OVERRIDE=FQ","FILING_STATUS=OR","SCALING_FORMAT=MLN","Sort=A","Dates=H","DateFormat=P","Fill=—","Direction=H","UseDPDF=Y")</f>
        <v>193</v>
      </c>
      <c r="AG24" s="13">
        <f>_xll.BDH("AMZN US Equity","BS_DISCLOSED_INTANGIBLES","FQ3 2006","FQ3 2006","Currency=USD","Period=FQ","BEST_FPERIOD_OVERRIDE=FQ","FILING_STATUS=OR","SCALING_FORMAT=MLN","Sort=A","Dates=H","DateFormat=P","Fill=—","Direction=H","UseDPDF=Y")</f>
        <v>194</v>
      </c>
      <c r="AH24" s="13">
        <f>_xll.BDH("AMZN US Equity","BS_DISCLOSED_INTANGIBLES","FQ4 2006","FQ4 2006","Currency=USD","Period=FQ","BEST_FPERIOD_OVERRIDE=FQ","FILING_STATUS=OR","SCALING_FORMAT=MLN","Sort=A","Dates=H","DateFormat=P","Fill=—","Direction=H","UseDPDF=Y")</f>
        <v>195</v>
      </c>
      <c r="AI24" s="13">
        <f>_xll.BDH("AMZN US Equity","BS_DISCLOSED_INTANGIBLES","FQ1 2007","FQ1 2007","Currency=USD","Period=FQ","BEST_FPERIOD_OVERRIDE=FQ","FILING_STATUS=OR","SCALING_FORMAT=MLN","Sort=A","Dates=H","DateFormat=P","Fill=—","Direction=H","UseDPDF=Y")</f>
        <v>196</v>
      </c>
      <c r="AJ24" s="13">
        <f>_xll.BDH("AMZN US Equity","BS_DISCLOSED_INTANGIBLES","FQ2 2007","FQ2 2007","Currency=USD","Period=FQ","BEST_FPERIOD_OVERRIDE=FQ","FILING_STATUS=OR","SCALING_FORMAT=MLN","Sort=A","Dates=H","DateFormat=P","Fill=—","Direction=H","UseDPDF=Y")</f>
        <v>214</v>
      </c>
      <c r="AK24" s="13">
        <f>_xll.BDH("AMZN US Equity","BS_DISCLOSED_INTANGIBLES","FQ3 2007","FQ3 2007","Currency=USD","Period=FQ","BEST_FPERIOD_OVERRIDE=FQ","FILING_STATUS=OR","SCALING_FORMAT=MLN","Sort=A","Dates=H","DateFormat=P","Fill=—","Direction=H","UseDPDF=Y")</f>
        <v>218</v>
      </c>
      <c r="AL24" s="13">
        <f>_xll.BDH("AMZN US Equity","BS_DISCLOSED_INTANGIBLES","FQ4 2007","FQ4 2007","Currency=USD","Period=FQ","BEST_FPERIOD_OVERRIDE=FQ","FILING_STATUS=OR","SCALING_FORMAT=MLN","Sort=A","Dates=H","DateFormat=P","Fill=—","Direction=H","UseDPDF=Y")</f>
        <v>222</v>
      </c>
      <c r="AM24" s="13">
        <f>_xll.BDH("AMZN US Equity","BS_DISCLOSED_INTANGIBLES","FQ1 2008","FQ1 2008","Currency=USD","Period=FQ","BEST_FPERIOD_OVERRIDE=FQ","FILING_STATUS=OR","SCALING_FORMAT=MLN","Sort=A","Dates=H","DateFormat=P","Fill=—","Direction=H","UseDPDF=Y")</f>
        <v>392</v>
      </c>
      <c r="AN24" s="13">
        <f>_xll.BDH("AMZN US Equity","BS_DISCLOSED_INTANGIBLES","FQ2 2008","FQ2 2008","Currency=USD","Period=FQ","BEST_FPERIOD_OVERRIDE=FQ","FILING_STATUS=OR","SCALING_FORMAT=MLN","Sort=A","Dates=H","DateFormat=P","Fill=—","Direction=H","UseDPDF=Y")</f>
        <v>400</v>
      </c>
      <c r="AO24" s="13">
        <f>_xll.BDH("AMZN US Equity","BS_DISCLOSED_INTANGIBLES","FQ3 2008","FQ3 2008","Currency=USD","Period=FQ","BEST_FPERIOD_OVERRIDE=FQ","FILING_STATUS=OR","SCALING_FORMAT=MLN","Sort=A","Dates=H","DateFormat=P","Fill=—","Direction=H","UseDPDF=Y")</f>
        <v>405</v>
      </c>
      <c r="AP24" s="13">
        <f>_xll.BDH("AMZN US Equity","BS_DISCLOSED_INTANGIBLES","FQ4 2008","FQ4 2008","Currency=USD","Period=FQ","BEST_FPERIOD_OVERRIDE=FQ","FILING_STATUS=OR","SCALING_FORMAT=MLN","Sort=A","Dates=H","DateFormat=P","Fill=—","Direction=H","UseDPDF=Y")</f>
        <v>438</v>
      </c>
    </row>
    <row r="25" spans="1:42" x14ac:dyDescent="0.25">
      <c r="A25" s="11" t="s">
        <v>216</v>
      </c>
      <c r="B25" s="11" t="s">
        <v>217</v>
      </c>
      <c r="C25" s="18" t="str">
        <f>_xll.BDH("AMZN US Equity","BS_GOODWILL","FQ4 1998","FQ4 1998","Currency=USD","Period=FQ","BEST_FPERIOD_OVERRIDE=FQ","FILING_STATUS=OR","SCALING_FORMAT=MLN","Sort=A","Dates=H","DateFormat=P","Fill=—","Direction=H","UseDPDF=Y")</f>
        <v>—</v>
      </c>
      <c r="D25" s="18" t="str">
        <f>_xll.BDH("AMZN US Equity","BS_GOODWILL","FQ1 1999","FQ1 1999","Currency=USD","Period=FQ","BEST_FPERIOD_OVERRIDE=FQ","FILING_STATUS=OR","SCALING_FORMAT=MLN","Sort=A","Dates=H","DateFormat=P","Fill=—","Direction=H","UseDPDF=Y")</f>
        <v>—</v>
      </c>
      <c r="E25" s="18" t="str">
        <f>_xll.BDH("AMZN US Equity","BS_GOODWILL","FQ2 1999","FQ2 1999","Currency=USD","Period=FQ","BEST_FPERIOD_OVERRIDE=FQ","FILING_STATUS=OR","SCALING_FORMAT=MLN","Sort=A","Dates=H","DateFormat=P","Fill=—","Direction=H","UseDPDF=Y")</f>
        <v>—</v>
      </c>
      <c r="F25" s="18" t="str">
        <f>_xll.BDH("AMZN US Equity","BS_GOODWILL","FQ3 1999","FQ3 1999","Currency=USD","Period=FQ","BEST_FPERIOD_OVERRIDE=FQ","FILING_STATUS=OR","SCALING_FORMAT=MLN","Sort=A","Dates=H","DateFormat=P","Fill=—","Direction=H","UseDPDF=Y")</f>
        <v>—</v>
      </c>
      <c r="G25" s="18" t="str">
        <f>_xll.BDH("AMZN US Equity","BS_GOODWILL","FQ4 1999","FQ4 1999","Currency=USD","Period=FQ","BEST_FPERIOD_OVERRIDE=FQ","FILING_STATUS=OR","SCALING_FORMAT=MLN","Sort=A","Dates=H","DateFormat=P","Fill=—","Direction=H","UseDPDF=Y")</f>
        <v>—</v>
      </c>
      <c r="H25" s="18" t="str">
        <f>_xll.BDH("AMZN US Equity","BS_GOODWILL","FQ1 2000","FQ1 2000","Currency=USD","Period=FQ","BEST_FPERIOD_OVERRIDE=FQ","FILING_STATUS=OR","SCALING_FORMAT=MLN","Sort=A","Dates=H","DateFormat=P","Fill=—","Direction=H","UseDPDF=Y")</f>
        <v>—</v>
      </c>
      <c r="I25" s="18" t="str">
        <f>_xll.BDH("AMZN US Equity","BS_GOODWILL","FQ3 2000","FQ3 2000","Currency=USD","Period=FQ","BEST_FPERIOD_OVERRIDE=FQ","FILING_STATUS=OR","SCALING_FORMAT=MLN","Sort=A","Dates=H","DateFormat=P","Fill=—","Direction=H","UseDPDF=Y")</f>
        <v>—</v>
      </c>
      <c r="J25" s="18" t="str">
        <f>_xll.BDH("AMZN US Equity","BS_GOODWILL","FQ4 2000","FQ4 2000","Currency=USD","Period=FQ","BEST_FPERIOD_OVERRIDE=FQ","FILING_STATUS=OR","SCALING_FORMAT=MLN","Sort=A","Dates=H","DateFormat=P","Fill=—","Direction=H","UseDPDF=Y")</f>
        <v>—</v>
      </c>
      <c r="K25" s="18">
        <f>_xll.BDH("AMZN US Equity","BS_GOODWILL","FQ1 2001","FQ1 2001","Currency=USD","Period=FQ","BEST_FPERIOD_OVERRIDE=FQ","FILING_STATUS=OR","SCALING_FORMAT=MLN","Sort=A","Dates=H","DateFormat=P","Fill=—","Direction=H","UseDPDF=Y")</f>
        <v>80.424000000000007</v>
      </c>
      <c r="L25" s="18">
        <f>_xll.BDH("AMZN US Equity","BS_GOODWILL","FQ2 2001","FQ2 2001","Currency=USD","Period=FQ","BEST_FPERIOD_OVERRIDE=FQ","FILING_STATUS=OR","SCALING_FORMAT=MLN","Sort=A","Dates=H","DateFormat=P","Fill=—","Direction=H","UseDPDF=Y")</f>
        <v>89.001999999999995</v>
      </c>
      <c r="M25" s="18">
        <f>_xll.BDH("AMZN US Equity","BS_GOODWILL","FQ3 2001","FQ3 2001","Currency=USD","Period=FQ","BEST_FPERIOD_OVERRIDE=FQ","FILING_STATUS=OR","SCALING_FORMAT=MLN","Sort=A","Dates=H","DateFormat=P","Fill=—","Direction=H","UseDPDF=Y")</f>
        <v>62.787999999999997</v>
      </c>
      <c r="N25" s="18">
        <f>_xll.BDH("AMZN US Equity","BS_GOODWILL","FQ4 2001","FQ4 2001","Currency=USD","Period=FQ","BEST_FPERIOD_OVERRIDE=FQ","FILING_STATUS=OR","SCALING_FORMAT=MLN","Sort=A","Dates=H","DateFormat=P","Fill=—","Direction=H","UseDPDF=Y")</f>
        <v>45.366999999999997</v>
      </c>
      <c r="O25" s="18">
        <f>_xll.BDH("AMZN US Equity","BS_GOODWILL","FQ1 2002","FQ1 2002","Currency=USD","Period=FQ","BEST_FPERIOD_OVERRIDE=FQ","FILING_STATUS=OR","SCALING_FORMAT=MLN","Sort=A","Dates=H","DateFormat=P","Fill=—","Direction=H","UseDPDF=Y")</f>
        <v>70.811000000000007</v>
      </c>
      <c r="P25" s="18">
        <f>_xll.BDH("AMZN US Equity","BS_GOODWILL","FQ2 2002","FQ2 2002","Currency=USD","Period=FQ","BEST_FPERIOD_OVERRIDE=FQ","FILING_STATUS=OR","SCALING_FORMAT=MLN","Sort=A","Dates=H","DateFormat=P","Fill=—","Direction=H","UseDPDF=Y")</f>
        <v>70.811000000000007</v>
      </c>
      <c r="Q25" s="18">
        <f>_xll.BDH("AMZN US Equity","BS_GOODWILL","FQ3 2002","FQ3 2002","Currency=USD","Period=FQ","BEST_FPERIOD_OVERRIDE=FQ","FILING_STATUS=OR","SCALING_FORMAT=MLN","Sort=A","Dates=H","DateFormat=P","Fill=—","Direction=H","UseDPDF=Y")</f>
        <v>70.811000000000007</v>
      </c>
      <c r="R25" s="18">
        <f>_xll.BDH("AMZN US Equity","BS_GOODWILL","FQ4 2002","FQ4 2002","Currency=USD","Period=FQ","BEST_FPERIOD_OVERRIDE=FQ","FILING_STATUS=OR","SCALING_FORMAT=MLN","Sort=A","Dates=H","DateFormat=P","Fill=—","Direction=H","UseDPDF=Y")</f>
        <v>70.811000000000007</v>
      </c>
      <c r="S25" s="18">
        <f>_xll.BDH("AMZN US Equity","BS_GOODWILL","FQ1 2003","FQ1 2003","Currency=USD","Period=FQ","BEST_FPERIOD_OVERRIDE=FQ","FILING_STATUS=OR","SCALING_FORMAT=MLN","Sort=A","Dates=H","DateFormat=P","Fill=—","Direction=H","UseDPDF=Y")</f>
        <v>70.811000000000007</v>
      </c>
      <c r="T25" s="18">
        <f>_xll.BDH("AMZN US Equity","BS_GOODWILL","FQ2 2003","FQ2 2003","Currency=USD","Period=FQ","BEST_FPERIOD_OVERRIDE=FQ","FILING_STATUS=OR","SCALING_FORMAT=MLN","Sort=A","Dates=H","DateFormat=P","Fill=—","Direction=H","UseDPDF=Y")</f>
        <v>70.811000000000007</v>
      </c>
      <c r="U25" s="18">
        <f>_xll.BDH("AMZN US Equity","BS_GOODWILL","FQ3 2003","FQ3 2003","Currency=USD","Period=FQ","BEST_FPERIOD_OVERRIDE=FQ","FILING_STATUS=OR","SCALING_FORMAT=MLN","Sort=A","Dates=H","DateFormat=P","Fill=—","Direction=H","UseDPDF=Y")</f>
        <v>69.120999999999995</v>
      </c>
      <c r="V25" s="18">
        <f>_xll.BDH("AMZN US Equity","BS_GOODWILL","FQ4 2003","FQ4 2003","Currency=USD","Period=FQ","BEST_FPERIOD_OVERRIDE=FQ","FILING_STATUS=OR","SCALING_FORMAT=MLN","Sort=A","Dates=H","DateFormat=P","Fill=—","Direction=H","UseDPDF=Y")</f>
        <v>69.120999999999995</v>
      </c>
      <c r="W25" s="18">
        <f>_xll.BDH("AMZN US Equity","BS_GOODWILL","FQ1 2004","FQ1 2004","Currency=USD","Period=FQ","BEST_FPERIOD_OVERRIDE=FQ","FILING_STATUS=OR","SCALING_FORMAT=MLN","Sort=A","Dates=H","DateFormat=P","Fill=—","Direction=H","UseDPDF=Y")</f>
        <v>69.120999999999995</v>
      </c>
      <c r="X25" s="18">
        <f>_xll.BDH("AMZN US Equity","BS_GOODWILL","FQ2 2004","FQ2 2004","Currency=USD","Period=FQ","BEST_FPERIOD_OVERRIDE=FQ","FILING_STATUS=OR","SCALING_FORMAT=MLN","Sort=A","Dates=H","DateFormat=P","Fill=—","Direction=H","UseDPDF=Y")</f>
        <v>69.120999999999995</v>
      </c>
      <c r="Y25" s="18">
        <f>_xll.BDH("AMZN US Equity","BS_GOODWILL","FQ3 2004","FQ3 2004","Currency=USD","Period=FQ","BEST_FPERIOD_OVERRIDE=FQ","FILING_STATUS=OR","SCALING_FORMAT=MLN","Sort=A","Dates=H","DateFormat=P","Fill=—","Direction=H","UseDPDF=Y")</f>
        <v>137.584</v>
      </c>
      <c r="Z25" s="18">
        <f>_xll.BDH("AMZN US Equity","BS_GOODWILL","FQ4 2004","FQ4 2004","Currency=USD","Period=FQ","BEST_FPERIOD_OVERRIDE=FQ","FILING_STATUS=OR","SCALING_FORMAT=MLN","Sort=A","Dates=H","DateFormat=P","Fill=—","Direction=H","UseDPDF=Y")</f>
        <v>138.999</v>
      </c>
      <c r="AA25" s="18">
        <f>_xll.BDH("AMZN US Equity","BS_GOODWILL","FQ1 2005","FQ1 2005","Currency=USD","Period=FQ","BEST_FPERIOD_OVERRIDE=FQ","FILING_STATUS=OR","SCALING_FORMAT=MLN","Sort=A","Dates=H","DateFormat=P","Fill=—","Direction=H","UseDPDF=Y")</f>
        <v>149</v>
      </c>
      <c r="AB25" s="18">
        <f>_xll.BDH("AMZN US Equity","BS_GOODWILL","FQ2 2005","FQ2 2005","Currency=USD","Period=FQ","BEST_FPERIOD_OVERRIDE=FQ","FILING_STATUS=OR","SCALING_FORMAT=MLN","Sort=A","Dates=H","DateFormat=P","Fill=—","Direction=H","UseDPDF=Y")</f>
        <v>154</v>
      </c>
      <c r="AC25" s="18">
        <f>_xll.BDH("AMZN US Equity","BS_GOODWILL","FQ3 2005","FQ3 2005","Currency=USD","Period=FQ","BEST_FPERIOD_OVERRIDE=FQ","FILING_STATUS=OR","SCALING_FORMAT=MLN","Sort=A","Dates=H","DateFormat=P","Fill=—","Direction=H","UseDPDF=Y")</f>
        <v>159</v>
      </c>
      <c r="AD25" s="18">
        <f>_xll.BDH("AMZN US Equity","BS_GOODWILL","FQ4 2005","FQ4 2005","Currency=USD","Period=FQ","BEST_FPERIOD_OVERRIDE=FQ","FILING_STATUS=OR","SCALING_FORMAT=MLN","Sort=A","Dates=H","DateFormat=P","Fill=—","Direction=H","UseDPDF=Y")</f>
        <v>159</v>
      </c>
      <c r="AE25" s="18">
        <f>_xll.BDH("AMZN US Equity","BS_GOODWILL","FQ1 2006","FQ1 2006","Currency=USD","Period=FQ","BEST_FPERIOD_OVERRIDE=FQ","FILING_STATUS=OR","SCALING_FORMAT=MLN","Sort=A","Dates=H","DateFormat=P","Fill=—","Direction=H","UseDPDF=Y")</f>
        <v>193</v>
      </c>
      <c r="AF25" s="18">
        <f>_xll.BDH("AMZN US Equity","BS_GOODWILL","FQ2 2006","FQ2 2006","Currency=USD","Period=FQ","BEST_FPERIOD_OVERRIDE=FQ","FILING_STATUS=OR","SCALING_FORMAT=MLN","Sort=A","Dates=H","DateFormat=P","Fill=—","Direction=H","UseDPDF=Y")</f>
        <v>193</v>
      </c>
      <c r="AG25" s="18">
        <f>_xll.BDH("AMZN US Equity","BS_GOODWILL","FQ3 2006","FQ3 2006","Currency=USD","Period=FQ","BEST_FPERIOD_OVERRIDE=FQ","FILING_STATUS=OR","SCALING_FORMAT=MLN","Sort=A","Dates=H","DateFormat=P","Fill=—","Direction=H","UseDPDF=Y")</f>
        <v>194</v>
      </c>
      <c r="AH25" s="18">
        <f>_xll.BDH("AMZN US Equity","BS_GOODWILL","FQ4 2006","FQ4 2006","Currency=USD","Period=FQ","BEST_FPERIOD_OVERRIDE=FQ","FILING_STATUS=OR","SCALING_FORMAT=MLN","Sort=A","Dates=H","DateFormat=P","Fill=—","Direction=H","UseDPDF=Y")</f>
        <v>195</v>
      </c>
      <c r="AI25" s="18">
        <f>_xll.BDH("AMZN US Equity","BS_GOODWILL","FQ1 2007","FQ1 2007","Currency=USD","Period=FQ","BEST_FPERIOD_OVERRIDE=FQ","FILING_STATUS=OR","SCALING_FORMAT=MLN","Sort=A","Dates=H","DateFormat=P","Fill=—","Direction=H","UseDPDF=Y")</f>
        <v>196</v>
      </c>
      <c r="AJ25" s="18">
        <f>_xll.BDH("AMZN US Equity","BS_GOODWILL","FQ2 2007","FQ2 2007","Currency=USD","Period=FQ","BEST_FPERIOD_OVERRIDE=FQ","FILING_STATUS=OR","SCALING_FORMAT=MLN","Sort=A","Dates=H","DateFormat=P","Fill=—","Direction=H","UseDPDF=Y")</f>
        <v>214</v>
      </c>
      <c r="AK25" s="18">
        <f>_xll.BDH("AMZN US Equity","BS_GOODWILL","FQ3 2007","FQ3 2007","Currency=USD","Period=FQ","BEST_FPERIOD_OVERRIDE=FQ","FILING_STATUS=OR","SCALING_FORMAT=MLN","Sort=A","Dates=H","DateFormat=P","Fill=—","Direction=H","UseDPDF=Y")</f>
        <v>218</v>
      </c>
      <c r="AL25" s="18">
        <f>_xll.BDH("AMZN US Equity","BS_GOODWILL","FQ4 2007","FQ4 2007","Currency=USD","Period=FQ","BEST_FPERIOD_OVERRIDE=FQ","FILING_STATUS=OR","SCALING_FORMAT=MLN","Sort=A","Dates=H","DateFormat=P","Fill=—","Direction=H","UseDPDF=Y")</f>
        <v>222</v>
      </c>
      <c r="AM25" s="18">
        <f>_xll.BDH("AMZN US Equity","BS_GOODWILL","FQ1 2008","FQ1 2008","Currency=USD","Period=FQ","BEST_FPERIOD_OVERRIDE=FQ","FILING_STATUS=OR","SCALING_FORMAT=MLN","Sort=A","Dates=H","DateFormat=P","Fill=—","Direction=H","UseDPDF=Y")</f>
        <v>392</v>
      </c>
      <c r="AN25" s="18">
        <f>_xll.BDH("AMZN US Equity","BS_GOODWILL","FQ2 2008","FQ2 2008","Currency=USD","Period=FQ","BEST_FPERIOD_OVERRIDE=FQ","FILING_STATUS=OR","SCALING_FORMAT=MLN","Sort=A","Dates=H","DateFormat=P","Fill=—","Direction=H","UseDPDF=Y")</f>
        <v>400</v>
      </c>
      <c r="AO25" s="18">
        <f>_xll.BDH("AMZN US Equity","BS_GOODWILL","FQ3 2008","FQ3 2008","Currency=USD","Period=FQ","BEST_FPERIOD_OVERRIDE=FQ","FILING_STATUS=OR","SCALING_FORMAT=MLN","Sort=A","Dates=H","DateFormat=P","Fill=—","Direction=H","UseDPDF=Y")</f>
        <v>405</v>
      </c>
      <c r="AP25" s="18">
        <f>_xll.BDH("AMZN US Equity","BS_GOODWILL","FQ4 2008","FQ4 2008","Currency=USD","Period=FQ","BEST_FPERIOD_OVERRIDE=FQ","FILING_STATUS=OR","SCALING_FORMAT=MLN","Sort=A","Dates=H","DateFormat=P","Fill=—","Direction=H","UseDPDF=Y")</f>
        <v>438</v>
      </c>
    </row>
    <row r="26" spans="1:42" x14ac:dyDescent="0.25">
      <c r="A26" s="11" t="s">
        <v>218</v>
      </c>
      <c r="B26" s="11" t="s">
        <v>219</v>
      </c>
      <c r="C26" s="18" t="str">
        <f>_xll.BDH("AMZN US Equity","OTHER_INTANGIBLE_ASSETS_DETAILED","FQ4 1998","FQ4 1998","Currency=USD","Period=FQ","BEST_FPERIOD_OVERRIDE=FQ","FILING_STATUS=OR","SCALING_FORMAT=MLN","Sort=A","Dates=H","DateFormat=P","Fill=—","Direction=H","UseDPDF=Y")</f>
        <v>—</v>
      </c>
      <c r="D26" s="18" t="str">
        <f>_xll.BDH("AMZN US Equity","OTHER_INTANGIBLE_ASSETS_DETAILED","FQ1 1999","FQ1 1999","Currency=USD","Period=FQ","BEST_FPERIOD_OVERRIDE=FQ","FILING_STATUS=OR","SCALING_FORMAT=MLN","Sort=A","Dates=H","DateFormat=P","Fill=—","Direction=H","UseDPDF=Y")</f>
        <v>—</v>
      </c>
      <c r="E26" s="18" t="str">
        <f>_xll.BDH("AMZN US Equity","OTHER_INTANGIBLE_ASSETS_DETAILED","FQ2 1999","FQ2 1999","Currency=USD","Period=FQ","BEST_FPERIOD_OVERRIDE=FQ","FILING_STATUS=OR","SCALING_FORMAT=MLN","Sort=A","Dates=H","DateFormat=P","Fill=—","Direction=H","UseDPDF=Y")</f>
        <v>—</v>
      </c>
      <c r="F26" s="18" t="str">
        <f>_xll.BDH("AMZN US Equity","OTHER_INTANGIBLE_ASSETS_DETAILED","FQ3 1999","FQ3 1999","Currency=USD","Period=FQ","BEST_FPERIOD_OVERRIDE=FQ","FILING_STATUS=OR","SCALING_FORMAT=MLN","Sort=A","Dates=H","DateFormat=P","Fill=—","Direction=H","UseDPDF=Y")</f>
        <v>—</v>
      </c>
      <c r="G26" s="18" t="str">
        <f>_xll.BDH("AMZN US Equity","OTHER_INTANGIBLE_ASSETS_DETAILED","FQ4 1999","FQ4 1999","Currency=USD","Period=FQ","BEST_FPERIOD_OVERRIDE=FQ","FILING_STATUS=OR","SCALING_FORMAT=MLN","Sort=A","Dates=H","DateFormat=P","Fill=—","Direction=H","UseDPDF=Y")</f>
        <v>—</v>
      </c>
      <c r="H26" s="18" t="str">
        <f>_xll.BDH("AMZN US Equity","OTHER_INTANGIBLE_ASSETS_DETAILED","FQ1 2000","FQ1 2000","Currency=USD","Period=FQ","BEST_FPERIOD_OVERRIDE=FQ","FILING_STATUS=OR","SCALING_FORMAT=MLN","Sort=A","Dates=H","DateFormat=P","Fill=—","Direction=H","UseDPDF=Y")</f>
        <v>—</v>
      </c>
      <c r="I26" s="18" t="str">
        <f>_xll.BDH("AMZN US Equity","OTHER_INTANGIBLE_ASSETS_DETAILED","FQ3 2000","FQ3 2000","Currency=USD","Period=FQ","BEST_FPERIOD_OVERRIDE=FQ","FILING_STATUS=OR","SCALING_FORMAT=MLN","Sort=A","Dates=H","DateFormat=P","Fill=—","Direction=H","UseDPDF=Y")</f>
        <v>—</v>
      </c>
      <c r="J26" s="18" t="str">
        <f>_xll.BDH("AMZN US Equity","OTHER_INTANGIBLE_ASSETS_DETAILED","FQ4 2000","FQ4 2000","Currency=USD","Period=FQ","BEST_FPERIOD_OVERRIDE=FQ","FILING_STATUS=OR","SCALING_FORMAT=MLN","Sort=A","Dates=H","DateFormat=P","Fill=—","Direction=H","UseDPDF=Y")</f>
        <v>—</v>
      </c>
      <c r="K26" s="18">
        <f>_xll.BDH("AMZN US Equity","OTHER_INTANGIBLE_ASSETS_DETAILED","FQ1 2001","FQ1 2001","Currency=USD","Period=FQ","BEST_FPERIOD_OVERRIDE=FQ","FILING_STATUS=OR","SCALING_FORMAT=MLN","Sort=A","Dates=H","DateFormat=P","Fill=—","Direction=H","UseDPDF=Y")</f>
        <v>123.996</v>
      </c>
      <c r="L26" s="18">
        <f>_xll.BDH("AMZN US Equity","OTHER_INTANGIBLE_ASSETS_DETAILED","FQ2 2001","FQ2 2001","Currency=USD","Period=FQ","BEST_FPERIOD_OVERRIDE=FQ","FILING_STATUS=OR","SCALING_FORMAT=MLN","Sort=A","Dates=H","DateFormat=P","Fill=—","Direction=H","UseDPDF=Y")</f>
        <v>63.893000000000001</v>
      </c>
      <c r="M26" s="18">
        <f>_xll.BDH("AMZN US Equity","OTHER_INTANGIBLE_ASSETS_DETAILED","FQ3 2001","FQ3 2001","Currency=USD","Period=FQ","BEST_FPERIOD_OVERRIDE=FQ","FILING_STATUS=OR","SCALING_FORMAT=MLN","Sort=A","Dates=H","DateFormat=P","Fill=—","Direction=H","UseDPDF=Y")</f>
        <v>48.273000000000003</v>
      </c>
      <c r="N26" s="18">
        <f>_xll.BDH("AMZN US Equity","OTHER_INTANGIBLE_ASSETS_DETAILED","FQ4 2001","FQ4 2001","Currency=USD","Period=FQ","BEST_FPERIOD_OVERRIDE=FQ","FILING_STATUS=OR","SCALING_FORMAT=MLN","Sort=A","Dates=H","DateFormat=P","Fill=—","Direction=H","UseDPDF=Y")</f>
        <v>34.381999999999998</v>
      </c>
      <c r="O26" s="18">
        <f>_xll.BDH("AMZN US Equity","OTHER_INTANGIBLE_ASSETS_DETAILED","FQ1 2002","FQ1 2002","Currency=USD","Period=FQ","BEST_FPERIOD_OVERRIDE=FQ","FILING_STATUS=OR","SCALING_FORMAT=MLN","Sort=A","Dates=H","DateFormat=P","Fill=—","Direction=H","UseDPDF=Y")</f>
        <v>6.9589999999999996</v>
      </c>
      <c r="P26" s="18">
        <f>_xll.BDH("AMZN US Equity","OTHER_INTANGIBLE_ASSETS_DETAILED","FQ2 2002","FQ2 2002","Currency=USD","Period=FQ","BEST_FPERIOD_OVERRIDE=FQ","FILING_STATUS=OR","SCALING_FORMAT=MLN","Sort=A","Dates=H","DateFormat=P","Fill=—","Direction=H","UseDPDF=Y")</f>
        <v>5.585</v>
      </c>
      <c r="Q26" s="18">
        <f>_xll.BDH("AMZN US Equity","OTHER_INTANGIBLE_ASSETS_DETAILED","FQ3 2002","FQ3 2002","Currency=USD","Period=FQ","BEST_FPERIOD_OVERRIDE=FQ","FILING_STATUS=OR","SCALING_FORMAT=MLN","Sort=A","Dates=H","DateFormat=P","Fill=—","Direction=H","UseDPDF=Y")</f>
        <v>4.3730000000000002</v>
      </c>
      <c r="R26" s="18">
        <f>_xll.BDH("AMZN US Equity","OTHER_INTANGIBLE_ASSETS_DETAILED","FQ4 2002","FQ4 2002","Currency=USD","Period=FQ","BEST_FPERIOD_OVERRIDE=FQ","FILING_STATUS=OR","SCALING_FORMAT=MLN","Sort=A","Dates=H","DateFormat=P","Fill=—","Direction=H","UseDPDF=Y")</f>
        <v>3.46</v>
      </c>
      <c r="S26" s="18">
        <f>_xll.BDH("AMZN US Equity","OTHER_INTANGIBLE_ASSETS_DETAILED","FQ1 2003","FQ1 2003","Currency=USD","Period=FQ","BEST_FPERIOD_OVERRIDE=FQ","FILING_STATUS=OR","SCALING_FORMAT=MLN","Sort=A","Dates=H","DateFormat=P","Fill=—","Direction=H","UseDPDF=Y")</f>
        <v>2.548</v>
      </c>
      <c r="T26" s="18">
        <f>_xll.BDH("AMZN US Equity","OTHER_INTANGIBLE_ASSETS_DETAILED","FQ2 2003","FQ2 2003","Currency=USD","Period=FQ","BEST_FPERIOD_OVERRIDE=FQ","FILING_STATUS=OR","SCALING_FORMAT=MLN","Sort=A","Dates=H","DateFormat=P","Fill=—","Direction=H","UseDPDF=Y")</f>
        <v>1.635</v>
      </c>
      <c r="U26" s="18">
        <f>_xll.BDH("AMZN US Equity","OTHER_INTANGIBLE_ASSETS_DETAILED","FQ3 2003","FQ3 2003","Currency=USD","Period=FQ","BEST_FPERIOD_OVERRIDE=FQ","FILING_STATUS=OR","SCALING_FORMAT=MLN","Sort=A","Dates=H","DateFormat=P","Fill=—","Direction=H","UseDPDF=Y")</f>
        <v>0.65900000000000003</v>
      </c>
      <c r="V26" s="18">
        <f>_xll.BDH("AMZN US Equity","OTHER_INTANGIBLE_ASSETS_DETAILED","FQ4 2003","FQ4 2003","Currency=USD","Period=FQ","BEST_FPERIOD_OVERRIDE=FQ","FILING_STATUS=OR","SCALING_FORMAT=MLN","Sort=A","Dates=H","DateFormat=P","Fill=—","Direction=H","UseDPDF=Y")</f>
        <v>0.51800000000000002</v>
      </c>
      <c r="W26" s="18">
        <f>_xll.BDH("AMZN US Equity","OTHER_INTANGIBLE_ASSETS_DETAILED","FQ1 2004","FQ1 2004","Currency=USD","Period=FQ","BEST_FPERIOD_OVERRIDE=FQ","FILING_STATUS=OR","SCALING_FORMAT=MLN","Sort=A","Dates=H","DateFormat=P","Fill=—","Direction=H","UseDPDF=Y")</f>
        <v>0</v>
      </c>
      <c r="X26" s="18">
        <f>_xll.BDH("AMZN US Equity","OTHER_INTANGIBLE_ASSETS_DETAILED","FQ2 2004","FQ2 2004","Currency=USD","Period=FQ","BEST_FPERIOD_OVERRIDE=FQ","FILING_STATUS=OR","SCALING_FORMAT=MLN","Sort=A","Dates=H","DateFormat=P","Fill=—","Direction=H","UseDPDF=Y")</f>
        <v>0</v>
      </c>
      <c r="Y26" s="18">
        <f>_xll.BDH("AMZN US Equity","OTHER_INTANGIBLE_ASSETS_DETAILED","FQ3 2004","FQ3 2004","Currency=USD","Period=FQ","BEST_FPERIOD_OVERRIDE=FQ","FILING_STATUS=OR","SCALING_FORMAT=MLN","Sort=A","Dates=H","DateFormat=P","Fill=—","Direction=H","UseDPDF=Y")</f>
        <v>0</v>
      </c>
      <c r="Z26" s="18">
        <f>_xll.BDH("AMZN US Equity","OTHER_INTANGIBLE_ASSETS_DETAILED","FQ4 2004","FQ4 2004","Currency=USD","Period=FQ","BEST_FPERIOD_OVERRIDE=FQ","FILING_STATUS=OR","SCALING_FORMAT=MLN","Sort=A","Dates=H","DateFormat=P","Fill=—","Direction=H","UseDPDF=Y")</f>
        <v>0</v>
      </c>
      <c r="AA26" s="18">
        <f>_xll.BDH("AMZN US Equity","OTHER_INTANGIBLE_ASSETS_DETAILED","FQ1 2005","FQ1 2005","Currency=USD","Period=FQ","BEST_FPERIOD_OVERRIDE=FQ","FILING_STATUS=OR","SCALING_FORMAT=MLN","Sort=A","Dates=H","DateFormat=P","Fill=—","Direction=H","UseDPDF=Y")</f>
        <v>12.7</v>
      </c>
      <c r="AB26" s="18">
        <f>_xll.BDH("AMZN US Equity","OTHER_INTANGIBLE_ASSETS_DETAILED","FQ2 2005","FQ2 2005","Currency=USD","Period=FQ","BEST_FPERIOD_OVERRIDE=FQ","FILING_STATUS=OR","SCALING_FORMAT=MLN","Sort=A","Dates=H","DateFormat=P","Fill=—","Direction=H","UseDPDF=Y")</f>
        <v>0</v>
      </c>
      <c r="AC26" s="18">
        <f>_xll.BDH("AMZN US Equity","OTHER_INTANGIBLE_ASSETS_DETAILED","FQ3 2005","FQ3 2005","Currency=USD","Period=FQ","BEST_FPERIOD_OVERRIDE=FQ","FILING_STATUS=OR","SCALING_FORMAT=MLN","Sort=A","Dates=H","DateFormat=P","Fill=—","Direction=H","UseDPDF=Y")</f>
        <v>0</v>
      </c>
      <c r="AD26" s="18">
        <f>_xll.BDH("AMZN US Equity","OTHER_INTANGIBLE_ASSETS_DETAILED","FQ4 2005","FQ4 2005","Currency=USD","Period=FQ","BEST_FPERIOD_OVERRIDE=FQ","FILING_STATUS=OR","SCALING_FORMAT=MLN","Sort=A","Dates=H","DateFormat=P","Fill=—","Direction=H","UseDPDF=Y")</f>
        <v>11</v>
      </c>
      <c r="AE26" s="18">
        <f>_xll.BDH("AMZN US Equity","OTHER_INTANGIBLE_ASSETS_DETAILED","FQ1 2006","FQ1 2006","Currency=USD","Period=FQ","BEST_FPERIOD_OVERRIDE=FQ","FILING_STATUS=OR","SCALING_FORMAT=MLN","Sort=A","Dates=H","DateFormat=P","Fill=—","Direction=H","UseDPDF=Y")</f>
        <v>0</v>
      </c>
      <c r="AF26" s="18">
        <f>_xll.BDH("AMZN US Equity","OTHER_INTANGIBLE_ASSETS_DETAILED","FQ2 2006","FQ2 2006","Currency=USD","Period=FQ","BEST_FPERIOD_OVERRIDE=FQ","FILING_STATUS=OR","SCALING_FORMAT=MLN","Sort=A","Dates=H","DateFormat=P","Fill=—","Direction=H","UseDPDF=Y")</f>
        <v>0</v>
      </c>
      <c r="AG26" s="18">
        <f>_xll.BDH("AMZN US Equity","OTHER_INTANGIBLE_ASSETS_DETAILED","FQ3 2006","FQ3 2006","Currency=USD","Period=FQ","BEST_FPERIOD_OVERRIDE=FQ","FILING_STATUS=OR","SCALING_FORMAT=MLN","Sort=A","Dates=H","DateFormat=P","Fill=—","Direction=H","UseDPDF=Y")</f>
        <v>0</v>
      </c>
      <c r="AH26" s="18">
        <f>_xll.BDH("AMZN US Equity","OTHER_INTANGIBLE_ASSETS_DETAILED","FQ4 2006","FQ4 2006","Currency=USD","Period=FQ","BEST_FPERIOD_OVERRIDE=FQ","FILING_STATUS=OR","SCALING_FORMAT=MLN","Sort=A","Dates=H","DateFormat=P","Fill=—","Direction=H","UseDPDF=Y")</f>
        <v>0</v>
      </c>
      <c r="AI26" s="18">
        <f>_xll.BDH("AMZN US Equity","OTHER_INTANGIBLE_ASSETS_DETAILED","FQ1 2007","FQ1 2007","Currency=USD","Period=FQ","BEST_FPERIOD_OVERRIDE=FQ","FILING_STATUS=OR","SCALING_FORMAT=MLN","Sort=A","Dates=H","DateFormat=P","Fill=—","Direction=H","UseDPDF=Y")</f>
        <v>0</v>
      </c>
      <c r="AJ26" s="18">
        <f>_xll.BDH("AMZN US Equity","OTHER_INTANGIBLE_ASSETS_DETAILED","FQ2 2007","FQ2 2007","Currency=USD","Period=FQ","BEST_FPERIOD_OVERRIDE=FQ","FILING_STATUS=OR","SCALING_FORMAT=MLN","Sort=A","Dates=H","DateFormat=P","Fill=—","Direction=H","UseDPDF=Y")</f>
        <v>0</v>
      </c>
      <c r="AK26" s="18">
        <f>_xll.BDH("AMZN US Equity","OTHER_INTANGIBLE_ASSETS_DETAILED","FQ3 2007","FQ3 2007","Currency=USD","Period=FQ","BEST_FPERIOD_OVERRIDE=FQ","FILING_STATUS=OR","SCALING_FORMAT=MLN","Sort=A","Dates=H","DateFormat=P","Fill=—","Direction=H","UseDPDF=Y")</f>
        <v>0</v>
      </c>
      <c r="AL26" s="18">
        <f>_xll.BDH("AMZN US Equity","OTHER_INTANGIBLE_ASSETS_DETAILED","FQ4 2007","FQ4 2007","Currency=USD","Period=FQ","BEST_FPERIOD_OVERRIDE=FQ","FILING_STATUS=OR","SCALING_FORMAT=MLN","Sort=A","Dates=H","DateFormat=P","Fill=—","Direction=H","UseDPDF=Y")</f>
        <v>0</v>
      </c>
      <c r="AM26" s="18">
        <f>_xll.BDH("AMZN US Equity","OTHER_INTANGIBLE_ASSETS_DETAILED","FQ1 2008","FQ1 2008","Currency=USD","Period=FQ","BEST_FPERIOD_OVERRIDE=FQ","FILING_STATUS=OR","SCALING_FORMAT=MLN","Sort=A","Dates=H","DateFormat=P","Fill=—","Direction=H","UseDPDF=Y")</f>
        <v>0</v>
      </c>
      <c r="AN26" s="18">
        <f>_xll.BDH("AMZN US Equity","OTHER_INTANGIBLE_ASSETS_DETAILED","FQ2 2008","FQ2 2008","Currency=USD","Period=FQ","BEST_FPERIOD_OVERRIDE=FQ","FILING_STATUS=OR","SCALING_FORMAT=MLN","Sort=A","Dates=H","DateFormat=P","Fill=—","Direction=H","UseDPDF=Y")</f>
        <v>0</v>
      </c>
      <c r="AO26" s="18">
        <f>_xll.BDH("AMZN US Equity","OTHER_INTANGIBLE_ASSETS_DETAILED","FQ3 2008","FQ3 2008","Currency=USD","Period=FQ","BEST_FPERIOD_OVERRIDE=FQ","FILING_STATUS=OR","SCALING_FORMAT=MLN","Sort=A","Dates=H","DateFormat=P","Fill=—","Direction=H","UseDPDF=Y")</f>
        <v>0</v>
      </c>
      <c r="AP26" s="18">
        <f>_xll.BDH("AMZN US Equity","OTHER_INTANGIBLE_ASSETS_DETAILED","FQ4 2008","FQ4 2008","Currency=USD","Period=FQ","BEST_FPERIOD_OVERRIDE=FQ","FILING_STATUS=OR","SCALING_FORMAT=MLN","Sort=A","Dates=H","DateFormat=P","Fill=—","Direction=H","UseDPDF=Y")</f>
        <v>0</v>
      </c>
    </row>
    <row r="27" spans="1:42" x14ac:dyDescent="0.25">
      <c r="A27" s="10" t="s">
        <v>220</v>
      </c>
      <c r="B27" s="10" t="s">
        <v>221</v>
      </c>
      <c r="C27" s="13">
        <f>_xll.BDH("AMZN US Equity","OTHER_NONCURRENT_ASSETS_DETAILED","FQ4 1998","FQ4 1998","Currency=USD","Period=FQ","BEST_FPERIOD_OVERRIDE=FQ","FILING_STATUS=OR","SCALING_FORMAT=MLN","Sort=A","Dates=H","DateFormat=P","Fill=—","Direction=H","UseDPDF=Y")</f>
        <v>0.29799999999999999</v>
      </c>
      <c r="D27" s="13">
        <f>_xll.BDH("AMZN US Equity","OTHER_NONCURRENT_ASSETS_DETAILED","FQ1 1999","FQ1 1999","Currency=USD","Period=FQ","BEST_FPERIOD_OVERRIDE=FQ","FILING_STATUS=OR","SCALING_FORMAT=MLN","Sort=A","Dates=H","DateFormat=P","Fill=—","Direction=H","UseDPDF=Y")</f>
        <v>39.911999999999999</v>
      </c>
      <c r="E27" s="13">
        <f>_xll.BDH("AMZN US Equity","OTHER_NONCURRENT_ASSETS_DETAILED","FQ2 1999","FQ2 1999","Currency=USD","Period=FQ","BEST_FPERIOD_OVERRIDE=FQ","FILING_STATUS=OR","SCALING_FORMAT=MLN","Sort=A","Dates=H","DateFormat=P","Fill=—","Direction=H","UseDPDF=Y")</f>
        <v>227.82300000000001</v>
      </c>
      <c r="F27" s="13">
        <f>_xll.BDH("AMZN US Equity","OTHER_NONCURRENT_ASSETS_DETAILED","FQ3 1999","FQ3 1999","Currency=USD","Period=FQ","BEST_FPERIOD_OVERRIDE=FQ","FILING_STATUS=OR","SCALING_FORMAT=MLN","Sort=A","Dates=H","DateFormat=P","Fill=—","Direction=H","UseDPDF=Y")</f>
        <v>36.238999999999997</v>
      </c>
      <c r="G27" s="13">
        <f>_xll.BDH("AMZN US Equity","OTHER_NONCURRENT_ASSETS_DETAILED","FQ4 1999","FQ4 1999","Currency=USD","Period=FQ","BEST_FPERIOD_OVERRIDE=FQ","FILING_STATUS=OR","SCALING_FORMAT=MLN","Sort=A","Dates=H","DateFormat=P","Fill=—","Direction=H","UseDPDF=Y")</f>
        <v>462.32600000000002</v>
      </c>
      <c r="H27" s="13">
        <f>_xll.BDH("AMZN US Equity","OTHER_NONCURRENT_ASSETS_DETAILED","FQ1 2000","FQ1 2000","Currency=USD","Period=FQ","BEST_FPERIOD_OVERRIDE=FQ","FILING_STATUS=OR","SCALING_FORMAT=MLN","Sort=A","Dates=H","DateFormat=P","Fill=—","Direction=H","UseDPDF=Y")</f>
        <v>326.45999999999998</v>
      </c>
      <c r="I27" s="13">
        <f>_xll.BDH("AMZN US Equity","OTHER_NONCURRENT_ASSETS_DETAILED","FQ3 2000","FQ3 2000","Currency=USD","Period=FQ","BEST_FPERIOD_OVERRIDE=FQ","FILING_STATUS=OR","SCALING_FORMAT=MLN","Sort=A","Dates=H","DateFormat=P","Fill=—","Direction=H","UseDPDF=Y")</f>
        <v>145.43700000000001</v>
      </c>
      <c r="J27" s="13">
        <f>_xll.BDH("AMZN US Equity","OTHER_NONCURRENT_ASSETS_DETAILED","FQ4 2000","FQ4 2000","Currency=USD","Period=FQ","BEST_FPERIOD_OVERRIDE=FQ","FILING_STATUS=OR","SCALING_FORMAT=MLN","Sort=A","Dates=H","DateFormat=P","Fill=—","Direction=H","UseDPDF=Y")</f>
        <v>112.122</v>
      </c>
      <c r="K27" s="13">
        <f>_xll.BDH("AMZN US Equity","OTHER_NONCURRENT_ASSETS_DETAILED","FQ1 2001","FQ1 2001","Currency=USD","Period=FQ","BEST_FPERIOD_OVERRIDE=FQ","FILING_STATUS=OR","SCALING_FORMAT=MLN","Sort=A","Dates=H","DateFormat=P","Fill=—","Direction=H","UseDPDF=Y")</f>
        <v>54.804000000000002</v>
      </c>
      <c r="L27" s="13">
        <f>_xll.BDH("AMZN US Equity","OTHER_NONCURRENT_ASSETS_DETAILED","FQ2 2001","FQ2 2001","Currency=USD","Period=FQ","BEST_FPERIOD_OVERRIDE=FQ","FILING_STATUS=OR","SCALING_FORMAT=MLN","Sort=A","Dates=H","DateFormat=P","Fill=—","Direction=H","UseDPDF=Y")</f>
        <v>65.632999999999996</v>
      </c>
      <c r="M27" s="13">
        <f>_xll.BDH("AMZN US Equity","OTHER_NONCURRENT_ASSETS_DETAILED","FQ3 2001","FQ3 2001","Currency=USD","Period=FQ","BEST_FPERIOD_OVERRIDE=FQ","FILING_STATUS=OR","SCALING_FORMAT=MLN","Sort=A","Dates=H","DateFormat=P","Fill=—","Direction=H","UseDPDF=Y")</f>
        <v>51.311</v>
      </c>
      <c r="N27" s="13">
        <f>_xll.BDH("AMZN US Equity","OTHER_NONCURRENT_ASSETS_DETAILED","FQ4 2001","FQ4 2001","Currency=USD","Period=FQ","BEST_FPERIOD_OVERRIDE=FQ","FILING_STATUS=OR","SCALING_FORMAT=MLN","Sort=A","Dates=H","DateFormat=P","Fill=—","Direction=H","UseDPDF=Y")</f>
        <v>60.155000000000001</v>
      </c>
      <c r="O27" s="13">
        <f>_xll.BDH("AMZN US Equity","OTHER_NONCURRENT_ASSETS_DETAILED","FQ1 2002","FQ1 2002","Currency=USD","Period=FQ","BEST_FPERIOD_OVERRIDE=FQ","FILING_STATUS=OR","SCALING_FORMAT=MLN","Sort=A","Dates=H","DateFormat=P","Fill=—","Direction=H","UseDPDF=Y")</f>
        <v>56.712000000000003</v>
      </c>
      <c r="P27" s="13">
        <f>_xll.BDH("AMZN US Equity","OTHER_NONCURRENT_ASSETS_DETAILED","FQ2 2002","FQ2 2002","Currency=USD","Period=FQ","BEST_FPERIOD_OVERRIDE=FQ","FILING_STATUS=OR","SCALING_FORMAT=MLN","Sort=A","Dates=H","DateFormat=P","Fill=—","Direction=H","UseDPDF=Y")</f>
        <v>50.334000000000003</v>
      </c>
      <c r="Q27" s="13">
        <f>_xll.BDH("AMZN US Equity","OTHER_NONCURRENT_ASSETS_DETAILED","FQ3 2002","FQ3 2002","Currency=USD","Period=FQ","BEST_FPERIOD_OVERRIDE=FQ","FILING_STATUS=OR","SCALING_FORMAT=MLN","Sort=A","Dates=H","DateFormat=P","Fill=—","Direction=H","UseDPDF=Y")</f>
        <v>48.014000000000003</v>
      </c>
      <c r="R27" s="13">
        <f>_xll.BDH("AMZN US Equity","OTHER_NONCURRENT_ASSETS_DETAILED","FQ4 2002","FQ4 2002","Currency=USD","Period=FQ","BEST_FPERIOD_OVERRIDE=FQ","FILING_STATUS=OR","SCALING_FORMAT=MLN","Sort=A","Dates=H","DateFormat=P","Fill=—","Direction=H","UseDPDF=Y")</f>
        <v>46.097999999999999</v>
      </c>
      <c r="S27" s="13">
        <f>_xll.BDH("AMZN US Equity","OTHER_NONCURRENT_ASSETS_DETAILED","FQ1 2003","FQ1 2003","Currency=USD","Period=FQ","BEST_FPERIOD_OVERRIDE=FQ","FILING_STATUS=OR","SCALING_FORMAT=MLN","Sort=A","Dates=H","DateFormat=P","Fill=—","Direction=H","UseDPDF=Y")</f>
        <v>46.345999999999997</v>
      </c>
      <c r="T27" s="13">
        <f>_xll.BDH("AMZN US Equity","OTHER_NONCURRENT_ASSETS_DETAILED","FQ2 2003","FQ2 2003","Currency=USD","Period=FQ","BEST_FPERIOD_OVERRIDE=FQ","FILING_STATUS=OR","SCALING_FORMAT=MLN","Sort=A","Dates=H","DateFormat=P","Fill=—","Direction=H","UseDPDF=Y")</f>
        <v>38.716000000000001</v>
      </c>
      <c r="U27" s="13">
        <f>_xll.BDH("AMZN US Equity","OTHER_NONCURRENT_ASSETS_DETAILED","FQ3 2003","FQ3 2003","Currency=USD","Period=FQ","BEST_FPERIOD_OVERRIDE=FQ","FILING_STATUS=OR","SCALING_FORMAT=MLN","Sort=A","Dates=H","DateFormat=P","Fill=—","Direction=H","UseDPDF=Y")</f>
        <v>35.296999999999997</v>
      </c>
      <c r="V27" s="13">
        <f>_xll.BDH("AMZN US Equity","OTHER_NONCURRENT_ASSETS_DETAILED","FQ4 2003","FQ4 2003","Currency=USD","Period=FQ","BEST_FPERIOD_OVERRIDE=FQ","FILING_STATUS=OR","SCALING_FORMAT=MLN","Sort=A","Dates=H","DateFormat=P","Fill=—","Direction=H","UseDPDF=Y")</f>
        <v>32.469000000000001</v>
      </c>
      <c r="W27" s="13">
        <f>_xll.BDH("AMZN US Equity","OTHER_NONCURRENT_ASSETS_DETAILED","FQ1 2004","FQ1 2004","Currency=USD","Period=FQ","BEST_FPERIOD_OVERRIDE=FQ","FILING_STATUS=OR","SCALING_FORMAT=MLN","Sort=A","Dates=H","DateFormat=P","Fill=—","Direction=H","UseDPDF=Y")</f>
        <v>46.39</v>
      </c>
      <c r="X27" s="13">
        <f>_xll.BDH("AMZN US Equity","OTHER_NONCURRENT_ASSETS_DETAILED","FQ2 2004","FQ2 2004","Currency=USD","Period=FQ","BEST_FPERIOD_OVERRIDE=FQ","FILING_STATUS=OR","SCALING_FORMAT=MLN","Sort=A","Dates=H","DateFormat=P","Fill=—","Direction=H","UseDPDF=Y")</f>
        <v>41.926000000000002</v>
      </c>
      <c r="Y27" s="13">
        <f>_xll.BDH("AMZN US Equity","OTHER_NONCURRENT_ASSETS_DETAILED","FQ3 2004","FQ3 2004","Currency=USD","Period=FQ","BEST_FPERIOD_OVERRIDE=FQ","FILING_STATUS=OR","SCALING_FORMAT=MLN","Sort=A","Dates=H","DateFormat=P","Fill=—","Direction=H","UseDPDF=Y")</f>
        <v>51.537999999999997</v>
      </c>
      <c r="Z27" s="13">
        <f>_xll.BDH("AMZN US Equity","OTHER_NONCURRENT_ASSETS_DETAILED","FQ4 2004","FQ4 2004","Currency=USD","Period=FQ","BEST_FPERIOD_OVERRIDE=FQ","FILING_STATUS=OR","SCALING_FORMAT=MLN","Sort=A","Dates=H","DateFormat=P","Fill=—","Direction=H","UseDPDF=Y")</f>
        <v>323.95699999999999</v>
      </c>
      <c r="AA27" s="13">
        <f>_xll.BDH("AMZN US Equity","OTHER_NONCURRENT_ASSETS_DETAILED","FQ1 2005","FQ1 2005","Currency=USD","Period=FQ","BEST_FPERIOD_OVERRIDE=FQ","FILING_STATUS=OR","SCALING_FORMAT=MLN","Sort=A","Dates=H","DateFormat=P","Fill=—","Direction=H","UseDPDF=Y")</f>
        <v>272.3</v>
      </c>
      <c r="AB27" s="13">
        <f>_xll.BDH("AMZN US Equity","OTHER_NONCURRENT_ASSETS_DETAILED","FQ2 2005","FQ2 2005","Currency=USD","Period=FQ","BEST_FPERIOD_OVERRIDE=FQ","FILING_STATUS=OR","SCALING_FORMAT=MLN","Sort=A","Dates=H","DateFormat=P","Fill=—","Direction=H","UseDPDF=Y")</f>
        <v>254</v>
      </c>
      <c r="AC27" s="13">
        <f>_xll.BDH("AMZN US Equity","OTHER_NONCURRENT_ASSETS_DETAILED","FQ3 2005","FQ3 2005","Currency=USD","Period=FQ","BEST_FPERIOD_OVERRIDE=FQ","FILING_STATUS=OR","SCALING_FORMAT=MLN","Sort=A","Dates=H","DateFormat=P","Fill=—","Direction=H","UseDPDF=Y")</f>
        <v>230</v>
      </c>
      <c r="AD27" s="13">
        <f>_xll.BDH("AMZN US Equity","OTHER_NONCURRENT_ASSETS_DETAILED","FQ4 2005","FQ4 2005","Currency=USD","Period=FQ","BEST_FPERIOD_OVERRIDE=FQ","FILING_STATUS=OR","SCALING_FORMAT=MLN","Sort=A","Dates=H","DateFormat=P","Fill=—","Direction=H","UseDPDF=Y")</f>
        <v>249</v>
      </c>
      <c r="AE27" s="13">
        <f>_xll.BDH("AMZN US Equity","OTHER_NONCURRENT_ASSETS_DETAILED","FQ1 2006","FQ1 2006","Currency=USD","Period=FQ","BEST_FPERIOD_OVERRIDE=FQ","FILING_STATUS=OR","SCALING_FORMAT=MLN","Sort=A","Dates=H","DateFormat=P","Fill=—","Direction=H","UseDPDF=Y")</f>
        <v>250</v>
      </c>
      <c r="AF27" s="13">
        <f>_xll.BDH("AMZN US Equity","OTHER_NONCURRENT_ASSETS_DETAILED","FQ2 2006","FQ2 2006","Currency=USD","Period=FQ","BEST_FPERIOD_OVERRIDE=FQ","FILING_STATUS=OR","SCALING_FORMAT=MLN","Sort=A","Dates=H","DateFormat=P","Fill=—","Direction=H","UseDPDF=Y")</f>
        <v>336</v>
      </c>
      <c r="AG27" s="13">
        <f>_xll.BDH("AMZN US Equity","OTHER_NONCURRENT_ASSETS_DETAILED","FQ3 2006","FQ3 2006","Currency=USD","Period=FQ","BEST_FPERIOD_OVERRIDE=FQ","FILING_STATUS=OR","SCALING_FORMAT=MLN","Sort=A","Dates=H","DateFormat=P","Fill=—","Direction=H","UseDPDF=Y")</f>
        <v>310</v>
      </c>
      <c r="AH27" s="13">
        <f>_xll.BDH("AMZN US Equity","OTHER_NONCURRENT_ASSETS_DETAILED","FQ4 2006","FQ4 2006","Currency=USD","Period=FQ","BEST_FPERIOD_OVERRIDE=FQ","FILING_STATUS=OR","SCALING_FORMAT=MLN","Sort=A","Dates=H","DateFormat=P","Fill=—","Direction=H","UseDPDF=Y")</f>
        <v>338</v>
      </c>
      <c r="AI27" s="13">
        <f>_xll.BDH("AMZN US Equity","OTHER_NONCURRENT_ASSETS_DETAILED","FQ1 2007","FQ1 2007","Currency=USD","Period=FQ","BEST_FPERIOD_OVERRIDE=FQ","FILING_STATUS=OR","SCALING_FORMAT=MLN","Sort=A","Dates=H","DateFormat=P","Fill=—","Direction=H","UseDPDF=Y")</f>
        <v>423</v>
      </c>
      <c r="AJ27" s="13">
        <f>_xll.BDH("AMZN US Equity","OTHER_NONCURRENT_ASSETS_DETAILED","FQ2 2007","FQ2 2007","Currency=USD","Period=FQ","BEST_FPERIOD_OVERRIDE=FQ","FILING_STATUS=OR","SCALING_FORMAT=MLN","Sort=A","Dates=H","DateFormat=P","Fill=—","Direction=H","UseDPDF=Y")</f>
        <v>468</v>
      </c>
      <c r="AK27" s="13">
        <f>_xll.BDH("AMZN US Equity","OTHER_NONCURRENT_ASSETS_DETAILED","FQ3 2007","FQ3 2007","Currency=USD","Period=FQ","BEST_FPERIOD_OVERRIDE=FQ","FILING_STATUS=OR","SCALING_FORMAT=MLN","Sort=A","Dates=H","DateFormat=P","Fill=—","Direction=H","UseDPDF=Y")</f>
        <v>485</v>
      </c>
      <c r="AL27" s="13">
        <f>_xll.BDH("AMZN US Equity","OTHER_NONCURRENT_ASSETS_DETAILED","FQ4 2007","FQ4 2007","Currency=USD","Period=FQ","BEST_FPERIOD_OVERRIDE=FQ","FILING_STATUS=OR","SCALING_FORMAT=MLN","Sort=A","Dates=H","DateFormat=P","Fill=—","Direction=H","UseDPDF=Y")</f>
        <v>556</v>
      </c>
      <c r="AM27" s="13">
        <f>_xll.BDH("AMZN US Equity","OTHER_NONCURRENT_ASSETS_DETAILED","FQ1 2008","FQ1 2008","Currency=USD","Period=FQ","BEST_FPERIOD_OVERRIDE=FQ","FILING_STATUS=OR","SCALING_FORMAT=MLN","Sort=A","Dates=H","DateFormat=P","Fill=—","Direction=H","UseDPDF=Y")</f>
        <v>932</v>
      </c>
      <c r="AN27" s="13">
        <f>_xll.BDH("AMZN US Equity","OTHER_NONCURRENT_ASSETS_DETAILED","FQ2 2008","FQ2 2008","Currency=USD","Period=FQ","BEST_FPERIOD_OVERRIDE=FQ","FILING_STATUS=OR","SCALING_FORMAT=MLN","Sort=A","Dates=H","DateFormat=P","Fill=—","Direction=H","UseDPDF=Y")</f>
        <v>1035</v>
      </c>
      <c r="AO27" s="13">
        <f>_xll.BDH("AMZN US Equity","OTHER_NONCURRENT_ASSETS_DETAILED","FQ3 2008","FQ3 2008","Currency=USD","Period=FQ","BEST_FPERIOD_OVERRIDE=FQ","FILING_STATUS=OR","SCALING_FORMAT=MLN","Sort=A","Dates=H","DateFormat=P","Fill=—","Direction=H","UseDPDF=Y")</f>
        <v>1000</v>
      </c>
      <c r="AP27" s="13">
        <f>_xll.BDH("AMZN US Equity","OTHER_NONCURRENT_ASSETS_DETAILED","FQ4 2008","FQ4 2008","Currency=USD","Period=FQ","BEST_FPERIOD_OVERRIDE=FQ","FILING_STATUS=OR","SCALING_FORMAT=MLN","Sort=A","Dates=H","DateFormat=P","Fill=—","Direction=H","UseDPDF=Y")</f>
        <v>865</v>
      </c>
    </row>
    <row r="28" spans="1:42" x14ac:dyDescent="0.25">
      <c r="A28" s="6" t="s">
        <v>222</v>
      </c>
      <c r="B28" s="6" t="s">
        <v>223</v>
      </c>
      <c r="C28" s="16">
        <f>_xll.BDH("AMZN US Equity","BS_TOT_NON_CUR_ASSET","FQ4 1998","FQ4 1998","Currency=USD","Period=FQ","BEST_FPERIOD_OVERRIDE=FQ","FILING_STATUS=OR","SCALING_FORMAT=MLN","Sort=A","Dates=H","DateFormat=P","Fill=—","Direction=H","UseDPDF=Y")</f>
        <v>224.20599999999999</v>
      </c>
      <c r="D28" s="16">
        <f>_xll.BDH("AMZN US Equity","BS_TOT_NON_CUR_ASSET","FQ1 1999","FQ1 1999","Currency=USD","Period=FQ","BEST_FPERIOD_OVERRIDE=FQ","FILING_STATUS=OR","SCALING_FORMAT=MLN","Sort=A","Dates=H","DateFormat=P","Fill=—","Direction=H","UseDPDF=Y")</f>
        <v>287.70600000000002</v>
      </c>
      <c r="E28" s="16">
        <f>_xll.BDH("AMZN US Equity","BS_TOT_NON_CUR_ASSET","FQ2 1999","FQ2 1999","Currency=USD","Period=FQ","BEST_FPERIOD_OVERRIDE=FQ","FILING_STATUS=OR","SCALING_FORMAT=MLN","Sort=A","Dates=H","DateFormat=P","Fill=—","Direction=H","UseDPDF=Y")</f>
        <v>1041.2560000000001</v>
      </c>
      <c r="F28" s="16">
        <f>_xll.BDH("AMZN US Equity","BS_TOT_NON_CUR_ASSET","FQ3 1999","FQ3 1999","Currency=USD","Period=FQ","BEST_FPERIOD_OVERRIDE=FQ","FILING_STATUS=OR","SCALING_FORMAT=MLN","Sort=A","Dates=H","DateFormat=P","Fill=—","Direction=H","UseDPDF=Y")</f>
        <v>1159.731</v>
      </c>
      <c r="G28" s="16">
        <f>_xll.BDH("AMZN US Equity","BS_TOT_NON_CUR_ASSET","FQ4 1999","FQ4 1999","Currency=USD","Period=FQ","BEST_FPERIOD_OVERRIDE=FQ","FILING_STATUS=OR","SCALING_FORMAT=MLN","Sort=A","Dates=H","DateFormat=P","Fill=—","Direction=H","UseDPDF=Y")</f>
        <v>1459.373</v>
      </c>
      <c r="H28" s="16">
        <f>_xll.BDH("AMZN US Equity","BS_TOT_NON_CUR_ASSET","FQ1 2000","FQ1 2000","Currency=USD","Period=FQ","BEST_FPERIOD_OVERRIDE=FQ","FILING_STATUS=OR","SCALING_FORMAT=MLN","Sort=A","Dates=H","DateFormat=P","Fill=—","Direction=H","UseDPDF=Y")</f>
        <v>1458.83</v>
      </c>
      <c r="I28" s="16">
        <f>_xll.BDH("AMZN US Equity","BS_TOT_NON_CUR_ASSET","FQ3 2000","FQ3 2000","Currency=USD","Period=FQ","BEST_FPERIOD_OVERRIDE=FQ","FILING_STATUS=OR","SCALING_FORMAT=MLN","Sort=A","Dates=H","DateFormat=P","Fill=—","Direction=H","UseDPDF=Y")</f>
        <v>1091.5419999999999</v>
      </c>
      <c r="J28" s="16">
        <f>_xll.BDH("AMZN US Equity","BS_TOT_NON_CUR_ASSET","FQ4 2000","FQ4 2000","Currency=USD","Period=FQ","BEST_FPERIOD_OVERRIDE=FQ","FILING_STATUS=OR","SCALING_FORMAT=MLN","Sort=A","Dates=H","DateFormat=P","Fill=—","Direction=H","UseDPDF=Y")</f>
        <v>774.04</v>
      </c>
      <c r="K28" s="16">
        <f>_xll.BDH("AMZN US Equity","BS_TOT_NON_CUR_ASSET","FQ1 2001","FQ1 2001","Currency=USD","Period=FQ","BEST_FPERIOD_OVERRIDE=FQ","FILING_STATUS=OR","SCALING_FORMAT=MLN","Sort=A","Dates=H","DateFormat=P","Fill=—","Direction=H","UseDPDF=Y")</f>
        <v>614.44500000000005</v>
      </c>
      <c r="L28" s="16">
        <f>_xll.BDH("AMZN US Equity","BS_TOT_NON_CUR_ASSET","FQ2 2001","FQ2 2001","Currency=USD","Period=FQ","BEST_FPERIOD_OVERRIDE=FQ","FILING_STATUS=OR","SCALING_FORMAT=MLN","Sort=A","Dates=H","DateFormat=P","Fill=—","Direction=H","UseDPDF=Y")</f>
        <v>535.67899999999997</v>
      </c>
      <c r="M28" s="16">
        <f>_xll.BDH("AMZN US Equity","BS_TOT_NON_CUR_ASSET","FQ3 2001","FQ3 2001","Currency=USD","Period=FQ","BEST_FPERIOD_OVERRIDE=FQ","FILING_STATUS=OR","SCALING_FORMAT=MLN","Sort=A","Dates=H","DateFormat=P","Fill=—","Direction=H","UseDPDF=Y")</f>
        <v>476.09199999999998</v>
      </c>
      <c r="N28" s="16">
        <f>_xll.BDH("AMZN US Equity","BS_TOT_NON_CUR_ASSET","FQ4 2001","FQ4 2001","Currency=USD","Period=FQ","BEST_FPERIOD_OVERRIDE=FQ","FILING_STATUS=OR","SCALING_FORMAT=MLN","Sort=A","Dates=H","DateFormat=P","Fill=—","Direction=H","UseDPDF=Y")</f>
        <v>429.62700000000001</v>
      </c>
      <c r="O28" s="16">
        <f>_xll.BDH("AMZN US Equity","BS_TOT_NON_CUR_ASSET","FQ1 2002","FQ1 2002","Currency=USD","Period=FQ","BEST_FPERIOD_OVERRIDE=FQ","FILING_STATUS=OR","SCALING_FORMAT=MLN","Sort=A","Dates=H","DateFormat=P","Fill=—","Direction=H","UseDPDF=Y")</f>
        <v>407.65499999999997</v>
      </c>
      <c r="P28" s="16">
        <f>_xll.BDH("AMZN US Equity","BS_TOT_NON_CUR_ASSET","FQ2 2002","FQ2 2002","Currency=USD","Period=FQ","BEST_FPERIOD_OVERRIDE=FQ","FILING_STATUS=OR","SCALING_FORMAT=MLN","Sort=A","Dates=H","DateFormat=P","Fill=—","Direction=H","UseDPDF=Y")</f>
        <v>391.47</v>
      </c>
      <c r="Q28" s="16">
        <f>_xll.BDH("AMZN US Equity","BS_TOT_NON_CUR_ASSET","FQ3 2002","FQ3 2002","Currency=USD","Period=FQ","BEST_FPERIOD_OVERRIDE=FQ","FILING_STATUS=OR","SCALING_FORMAT=MLN","Sort=A","Dates=H","DateFormat=P","Fill=—","Direction=H","UseDPDF=Y")</f>
        <v>377.798</v>
      </c>
      <c r="R28" s="16">
        <f>_xll.BDH("AMZN US Equity","BS_TOT_NON_CUR_ASSET","FQ4 2002","FQ4 2002","Currency=USD","Period=FQ","BEST_FPERIOD_OVERRIDE=FQ","FILING_STATUS=OR","SCALING_FORMAT=MLN","Sort=A","Dates=H","DateFormat=P","Fill=—","Direction=H","UseDPDF=Y")</f>
        <v>374.77300000000002</v>
      </c>
      <c r="S28" s="16">
        <f>_xll.BDH("AMZN US Equity","BS_TOT_NON_CUR_ASSET","FQ1 2003","FQ1 2003","Currency=USD","Period=FQ","BEST_FPERIOD_OVERRIDE=FQ","FILING_STATUS=OR","SCALING_FORMAT=MLN","Sort=A","Dates=H","DateFormat=P","Fill=—","Direction=H","UseDPDF=Y")</f>
        <v>361.43700000000001</v>
      </c>
      <c r="T28" s="16">
        <f>_xll.BDH("AMZN US Equity","BS_TOT_NON_CUR_ASSET","FQ2 2003","FQ2 2003","Currency=USD","Period=FQ","BEST_FPERIOD_OVERRIDE=FQ","FILING_STATUS=OR","SCALING_FORMAT=MLN","Sort=A","Dates=H","DateFormat=P","Fill=—","Direction=H","UseDPDF=Y")</f>
        <v>345.6</v>
      </c>
      <c r="U28" s="16">
        <f>_xll.BDH("AMZN US Equity","BS_TOT_NON_CUR_ASSET","FQ3 2003","FQ3 2003","Currency=USD","Period=FQ","BEST_FPERIOD_OVERRIDE=FQ","FILING_STATUS=OR","SCALING_FORMAT=MLN","Sort=A","Dates=H","DateFormat=P","Fill=—","Direction=H","UseDPDF=Y")</f>
        <v>339.48500000000001</v>
      </c>
      <c r="V28" s="16">
        <f>_xll.BDH("AMZN US Equity","BS_TOT_NON_CUR_ASSET","FQ4 2003","FQ4 2003","Currency=USD","Period=FQ","BEST_FPERIOD_OVERRIDE=FQ","FILING_STATUS=OR","SCALING_FORMAT=MLN","Sort=A","Dates=H","DateFormat=P","Fill=—","Direction=H","UseDPDF=Y")</f>
        <v>341.22399999999999</v>
      </c>
      <c r="W28" s="16">
        <f>_xll.BDH("AMZN US Equity","BS_TOT_NON_CUR_ASSET","FQ1 2004","FQ1 2004","Currency=USD","Period=FQ","BEST_FPERIOD_OVERRIDE=FQ","FILING_STATUS=OR","SCALING_FORMAT=MLN","Sort=A","Dates=H","DateFormat=P","Fill=—","Direction=H","UseDPDF=Y")</f>
        <v>332.98700000000002</v>
      </c>
      <c r="X28" s="16">
        <f>_xll.BDH("AMZN US Equity","BS_TOT_NON_CUR_ASSET","FQ2 2004","FQ2 2004","Currency=USD","Period=FQ","BEST_FPERIOD_OVERRIDE=FQ","FILING_STATUS=OR","SCALING_FORMAT=MLN","Sort=A","Dates=H","DateFormat=P","Fill=—","Direction=H","UseDPDF=Y")</f>
        <v>326.91800000000001</v>
      </c>
      <c r="Y28" s="16">
        <f>_xll.BDH("AMZN US Equity","BS_TOT_NON_CUR_ASSET","FQ3 2004","FQ3 2004","Currency=USD","Period=FQ","BEST_FPERIOD_OVERRIDE=FQ","FILING_STATUS=OR","SCALING_FORMAT=MLN","Sort=A","Dates=H","DateFormat=P","Fill=—","Direction=H","UseDPDF=Y")</f>
        <v>415.88400000000001</v>
      </c>
      <c r="Z28" s="16">
        <f>_xll.BDH("AMZN US Equity","BS_TOT_NON_CUR_ASSET","FQ4 2004","FQ4 2004","Currency=USD","Period=FQ","BEST_FPERIOD_OVERRIDE=FQ","FILING_STATUS=OR","SCALING_FORMAT=MLN","Sort=A","Dates=H","DateFormat=P","Fill=—","Direction=H","UseDPDF=Y")</f>
        <v>709.11199999999997</v>
      </c>
      <c r="AA28" s="16">
        <f>_xll.BDH("AMZN US Equity","BS_TOT_NON_CUR_ASSET","FQ1 2005","FQ1 2005","Currency=USD","Period=FQ","BEST_FPERIOD_OVERRIDE=FQ","FILING_STATUS=OR","SCALING_FORMAT=MLN","Sort=A","Dates=H","DateFormat=P","Fill=—","Direction=H","UseDPDF=Y")</f>
        <v>679</v>
      </c>
      <c r="AB28" s="16">
        <f>_xll.BDH("AMZN US Equity","BS_TOT_NON_CUR_ASSET","FQ2 2005","FQ2 2005","Currency=USD","Period=FQ","BEST_FPERIOD_OVERRIDE=FQ","FILING_STATUS=OR","SCALING_FORMAT=MLN","Sort=A","Dates=H","DateFormat=P","Fill=—","Direction=H","UseDPDF=Y")</f>
        <v>675</v>
      </c>
      <c r="AC28" s="16">
        <f>_xll.BDH("AMZN US Equity","BS_TOT_NON_CUR_ASSET","FQ3 2005","FQ3 2005","Currency=USD","Period=FQ","BEST_FPERIOD_OVERRIDE=FQ","FILING_STATUS=OR","SCALING_FORMAT=MLN","Sort=A","Dates=H","DateFormat=P","Fill=—","Direction=H","UseDPDF=Y")</f>
        <v>711</v>
      </c>
      <c r="AD28" s="16">
        <f>_xll.BDH("AMZN US Equity","BS_TOT_NON_CUR_ASSET","FQ4 2005","FQ4 2005","Currency=USD","Period=FQ","BEST_FPERIOD_OVERRIDE=FQ","FILING_STATUS=OR","SCALING_FORMAT=MLN","Sort=A","Dates=H","DateFormat=P","Fill=—","Direction=H","UseDPDF=Y")</f>
        <v>767</v>
      </c>
      <c r="AE28" s="16">
        <f>_xll.BDH("AMZN US Equity","BS_TOT_NON_CUR_ASSET","FQ1 2006","FQ1 2006","Currency=USD","Period=FQ","BEST_FPERIOD_OVERRIDE=FQ","FILING_STATUS=OR","SCALING_FORMAT=MLN","Sort=A","Dates=H","DateFormat=P","Fill=—","Direction=H","UseDPDF=Y")</f>
        <v>804</v>
      </c>
      <c r="AF28" s="16">
        <f>_xll.BDH("AMZN US Equity","BS_TOT_NON_CUR_ASSET","FQ2 2006","FQ2 2006","Currency=USD","Period=FQ","BEST_FPERIOD_OVERRIDE=FQ","FILING_STATUS=OR","SCALING_FORMAT=MLN","Sort=A","Dates=H","DateFormat=P","Fill=—","Direction=H","UseDPDF=Y")</f>
        <v>934</v>
      </c>
      <c r="AG28" s="16">
        <f>_xll.BDH("AMZN US Equity","BS_TOT_NON_CUR_ASSET","FQ3 2006","FQ3 2006","Currency=USD","Period=FQ","BEST_FPERIOD_OVERRIDE=FQ","FILING_STATUS=OR","SCALING_FORMAT=MLN","Sort=A","Dates=H","DateFormat=P","Fill=—","Direction=H","UseDPDF=Y")</f>
        <v>953</v>
      </c>
      <c r="AH28" s="16">
        <f>_xll.BDH("AMZN US Equity","BS_TOT_NON_CUR_ASSET","FQ4 2006","FQ4 2006","Currency=USD","Period=FQ","BEST_FPERIOD_OVERRIDE=FQ","FILING_STATUS=OR","SCALING_FORMAT=MLN","Sort=A","Dates=H","DateFormat=P","Fill=—","Direction=H","UseDPDF=Y")</f>
        <v>990</v>
      </c>
      <c r="AI28" s="16">
        <f>_xll.BDH("AMZN US Equity","BS_TOT_NON_CUR_ASSET","FQ1 2007","FQ1 2007","Currency=USD","Period=FQ","BEST_FPERIOD_OVERRIDE=FQ","FILING_STATUS=OR","SCALING_FORMAT=MLN","Sort=A","Dates=H","DateFormat=P","Fill=—","Direction=H","UseDPDF=Y")</f>
        <v>1061</v>
      </c>
      <c r="AJ28" s="16">
        <f>_xll.BDH("AMZN US Equity","BS_TOT_NON_CUR_ASSET","FQ2 2007","FQ2 2007","Currency=USD","Period=FQ","BEST_FPERIOD_OVERRIDE=FQ","FILING_STATUS=OR","SCALING_FORMAT=MLN","Sort=A","Dates=H","DateFormat=P","Fill=—","Direction=H","UseDPDF=Y")</f>
        <v>1125</v>
      </c>
      <c r="AK28" s="16">
        <f>_xll.BDH("AMZN US Equity","BS_TOT_NON_CUR_ASSET","FQ3 2007","FQ3 2007","Currency=USD","Period=FQ","BEST_FPERIOD_OVERRIDE=FQ","FILING_STATUS=OR","SCALING_FORMAT=MLN","Sort=A","Dates=H","DateFormat=P","Fill=—","Direction=H","UseDPDF=Y")</f>
        <v>1194</v>
      </c>
      <c r="AL28" s="16">
        <f>_xll.BDH("AMZN US Equity","BS_TOT_NON_CUR_ASSET","FQ4 2007","FQ4 2007","Currency=USD","Period=FQ","BEST_FPERIOD_OVERRIDE=FQ","FILING_STATUS=OR","SCALING_FORMAT=MLN","Sort=A","Dates=H","DateFormat=P","Fill=—","Direction=H","UseDPDF=Y")</f>
        <v>1321</v>
      </c>
      <c r="AM28" s="16">
        <f>_xll.BDH("AMZN US Equity","BS_TOT_NON_CUR_ASSET","FQ1 2008","FQ1 2008","Currency=USD","Period=FQ","BEST_FPERIOD_OVERRIDE=FQ","FILING_STATUS=OR","SCALING_FORMAT=MLN","Sort=A","Dates=H","DateFormat=P","Fill=—","Direction=H","UseDPDF=Y")</f>
        <v>1918</v>
      </c>
      <c r="AN28" s="16">
        <f>_xll.BDH("AMZN US Equity","BS_TOT_NON_CUR_ASSET","FQ2 2008","FQ2 2008","Currency=USD","Period=FQ","BEST_FPERIOD_OVERRIDE=FQ","FILING_STATUS=OR","SCALING_FORMAT=MLN","Sort=A","Dates=H","DateFormat=P","Fill=—","Direction=H","UseDPDF=Y")</f>
        <v>2086</v>
      </c>
      <c r="AO28" s="16">
        <f>_xll.BDH("AMZN US Equity","BS_TOT_NON_CUR_ASSET","FQ3 2008","FQ3 2008","Currency=USD","Period=FQ","BEST_FPERIOD_OVERRIDE=FQ","FILING_STATUS=OR","SCALING_FORMAT=MLN","Sort=A","Dates=H","DateFormat=P","Fill=—","Direction=H","UseDPDF=Y")</f>
        <v>2136</v>
      </c>
      <c r="AP28" s="16">
        <f>_xll.BDH("AMZN US Equity","BS_TOT_NON_CUR_ASSET","FQ4 2008","FQ4 2008","Currency=USD","Period=FQ","BEST_FPERIOD_OVERRIDE=FQ","FILING_STATUS=OR","SCALING_FORMAT=MLN","Sort=A","Dates=H","DateFormat=P","Fill=—","Direction=H","UseDPDF=Y")</f>
        <v>2157</v>
      </c>
    </row>
    <row r="29" spans="1:42" x14ac:dyDescent="0.25">
      <c r="A29" s="6" t="s">
        <v>179</v>
      </c>
      <c r="B29" s="6" t="s">
        <v>224</v>
      </c>
      <c r="C29" s="16">
        <f>_xll.BDH("AMZN US Equity","BS_TOT_ASSET","FQ4 1998","FQ4 1998","Currency=USD","Period=FQ","BEST_FPERIOD_OVERRIDE=FQ","FILING_STATUS=OR","SCALING_FORMAT=MLN","Sort=A","Dates=H","DateFormat=P","Fill=—","Direction=H","UseDPDF=Y")</f>
        <v>648.46</v>
      </c>
      <c r="D29" s="16">
        <f>_xll.BDH("AMZN US Equity","BS_TOT_ASSET","FQ1 1999","FQ1 1999","Currency=USD","Period=FQ","BEST_FPERIOD_OVERRIDE=FQ","FILING_STATUS=OR","SCALING_FORMAT=MLN","Sort=A","Dates=H","DateFormat=P","Fill=—","Direction=H","UseDPDF=Y")</f>
        <v>1812.9839999999999</v>
      </c>
      <c r="E29" s="16">
        <f>_xll.BDH("AMZN US Equity","BS_TOT_ASSET","FQ2 1999","FQ2 1999","Currency=USD","Period=FQ","BEST_FPERIOD_OVERRIDE=FQ","FILING_STATUS=OR","SCALING_FORMAT=MLN","Sort=A","Dates=H","DateFormat=P","Fill=—","Direction=H","UseDPDF=Y")</f>
        <v>2298.2141000000001</v>
      </c>
      <c r="F29" s="16">
        <f>_xll.BDH("AMZN US Equity","BS_TOT_ASSET","FQ3 1999","FQ3 1999","Currency=USD","Period=FQ","BEST_FPERIOD_OVERRIDE=FQ","FILING_STATUS=OR","SCALING_FORMAT=MLN","Sort=A","Dates=H","DateFormat=P","Fill=—","Direction=H","UseDPDF=Y")</f>
        <v>2239.7991000000002</v>
      </c>
      <c r="G29" s="16">
        <f>_xll.BDH("AMZN US Equity","BS_TOT_ASSET","FQ4 1999","FQ4 1999","Currency=USD","Period=FQ","BEST_FPERIOD_OVERRIDE=FQ","FILING_STATUS=OR","SCALING_FORMAT=MLN","Sort=A","Dates=H","DateFormat=P","Fill=—","Direction=H","UseDPDF=Y")</f>
        <v>2471.5509999999999</v>
      </c>
      <c r="H29" s="16">
        <f>_xll.BDH("AMZN US Equity","BS_TOT_ASSET","FQ1 2000","FQ1 2000","Currency=USD","Period=FQ","BEST_FPERIOD_OVERRIDE=FQ","FILING_STATUS=OR","SCALING_FORMAT=MLN","Sort=A","Dates=H","DateFormat=P","Fill=—","Direction=H","UseDPDF=Y")</f>
        <v>2729.7429999999999</v>
      </c>
      <c r="I29" s="16">
        <f>_xll.BDH("AMZN US Equity","BS_TOT_ASSET","FQ3 2000","FQ3 2000","Currency=USD","Period=FQ","BEST_FPERIOD_OVERRIDE=FQ","FILING_STATUS=OR","SCALING_FORMAT=MLN","Sort=A","Dates=H","DateFormat=P","Fill=—","Direction=H","UseDPDF=Y")</f>
        <v>2254.627</v>
      </c>
      <c r="J29" s="16">
        <f>_xll.BDH("AMZN US Equity","BS_TOT_ASSET","FQ4 2000","FQ4 2000","Currency=USD","Period=FQ","BEST_FPERIOD_OVERRIDE=FQ","FILING_STATUS=OR","SCALING_FORMAT=MLN","Sort=A","Dates=H","DateFormat=P","Fill=—","Direction=H","UseDPDF=Y")</f>
        <v>2135.1689000000001</v>
      </c>
      <c r="K29" s="16">
        <f>_xll.BDH("AMZN US Equity","BS_TOT_ASSET","FQ1 2001","FQ1 2001","Currency=USD","Period=FQ","BEST_FPERIOD_OVERRIDE=FQ","FILING_STATUS=OR","SCALING_FORMAT=MLN","Sort=A","Dates=H","DateFormat=P","Fill=—","Direction=H","UseDPDF=Y")</f>
        <v>1470.155</v>
      </c>
      <c r="L29" s="16">
        <f>_xll.BDH("AMZN US Equity","BS_TOT_ASSET","FQ2 2001","FQ2 2001","Currency=USD","Period=FQ","BEST_FPERIOD_OVERRIDE=FQ","FILING_STATUS=OR","SCALING_FORMAT=MLN","Sort=A","Dates=H","DateFormat=P","Fill=—","Direction=H","UseDPDF=Y")</f>
        <v>1345.0360000000001</v>
      </c>
      <c r="M29" s="16">
        <f>_xll.BDH("AMZN US Equity","BS_TOT_ASSET","FQ3 2001","FQ3 2001","Currency=USD","Period=FQ","BEST_FPERIOD_OVERRIDE=FQ","FILING_STATUS=OR","SCALING_FORMAT=MLN","Sort=A","Dates=H","DateFormat=P","Fill=—","Direction=H","UseDPDF=Y")</f>
        <v>1346.3679999999999</v>
      </c>
      <c r="N29" s="16">
        <f>_xll.BDH("AMZN US Equity","BS_TOT_ASSET","FQ4 2001","FQ4 2001","Currency=USD","Period=FQ","BEST_FPERIOD_OVERRIDE=FQ","FILING_STATUS=OR","SCALING_FORMAT=MLN","Sort=A","Dates=H","DateFormat=P","Fill=—","Direction=H","UseDPDF=Y")</f>
        <v>1637.547</v>
      </c>
      <c r="O29" s="16">
        <f>_xll.BDH("AMZN US Equity","BS_TOT_ASSET","FQ1 2002","FQ1 2002","Currency=USD","Period=FQ","BEST_FPERIOD_OVERRIDE=FQ","FILING_STATUS=OR","SCALING_FORMAT=MLN","Sort=A","Dates=H","DateFormat=P","Fill=—","Direction=H","UseDPDF=Y")</f>
        <v>1361.9280000000001</v>
      </c>
      <c r="P29" s="16">
        <f>_xll.BDH("AMZN US Equity","BS_TOT_ASSET","FQ2 2002","FQ2 2002","Currency=USD","Period=FQ","BEST_FPERIOD_OVERRIDE=FQ","FILING_STATUS=OR","SCALING_FORMAT=MLN","Sort=A","Dates=H","DateFormat=P","Fill=—","Direction=H","UseDPDF=Y")</f>
        <v>1435.047</v>
      </c>
      <c r="Q29" s="16">
        <f>_xll.BDH("AMZN US Equity","BS_TOT_ASSET","FQ3 2002","FQ3 2002","Currency=USD","Period=FQ","BEST_FPERIOD_OVERRIDE=FQ","FILING_STATUS=OR","SCALING_FORMAT=MLN","Sort=A","Dates=H","DateFormat=P","Fill=—","Direction=H","UseDPDF=Y")</f>
        <v>1497.405</v>
      </c>
      <c r="R29" s="16">
        <f>_xll.BDH("AMZN US Equity","BS_TOT_ASSET","FQ4 2002","FQ4 2002","Currency=USD","Period=FQ","BEST_FPERIOD_OVERRIDE=FQ","FILING_STATUS=OR","SCALING_FORMAT=MLN","Sort=A","Dates=H","DateFormat=P","Fill=—","Direction=H","UseDPDF=Y")</f>
        <v>1990.4490000000001</v>
      </c>
      <c r="S29" s="16">
        <f>_xll.BDH("AMZN US Equity","BS_TOT_ASSET","FQ1 2003","FQ1 2003","Currency=USD","Period=FQ","BEST_FPERIOD_OVERRIDE=FQ","FILING_STATUS=OR","SCALING_FORMAT=MLN","Sort=A","Dates=H","DateFormat=P","Fill=—","Direction=H","UseDPDF=Y")</f>
        <v>1705.933</v>
      </c>
      <c r="T29" s="16">
        <f>_xll.BDH("AMZN US Equity","BS_TOT_ASSET","FQ2 2003","FQ2 2003","Currency=USD","Period=FQ","BEST_FPERIOD_OVERRIDE=FQ","FILING_STATUS=OR","SCALING_FORMAT=MLN","Sort=A","Dates=H","DateFormat=P","Fill=—","Direction=H","UseDPDF=Y")</f>
        <v>1596.854</v>
      </c>
      <c r="U29" s="16">
        <f>_xll.BDH("AMZN US Equity","BS_TOT_ASSET","FQ3 2003","FQ3 2003","Currency=USD","Period=FQ","BEST_FPERIOD_OVERRIDE=FQ","FILING_STATUS=OR","SCALING_FORMAT=MLN","Sort=A","Dates=H","DateFormat=P","Fill=—","Direction=H","UseDPDF=Y")</f>
        <v>1749.6850999999999</v>
      </c>
      <c r="V29" s="16">
        <f>_xll.BDH("AMZN US Equity","BS_TOT_ASSET","FQ4 2003","FQ4 2003","Currency=USD","Period=FQ","BEST_FPERIOD_OVERRIDE=FQ","FILING_STATUS=OR","SCALING_FORMAT=MLN","Sort=A","Dates=H","DateFormat=P","Fill=—","Direction=H","UseDPDF=Y")</f>
        <v>2162.0329999999999</v>
      </c>
      <c r="W29" s="16">
        <f>_xll.BDH("AMZN US Equity","BS_TOT_ASSET","FQ1 2004","FQ1 2004","Currency=USD","Period=FQ","BEST_FPERIOD_OVERRIDE=FQ","FILING_STATUS=OR","SCALING_FORMAT=MLN","Sort=A","Dates=H","DateFormat=P","Fill=—","Direction=H","UseDPDF=Y")</f>
        <v>1738.5609999999999</v>
      </c>
      <c r="X29" s="16">
        <f>_xll.BDH("AMZN US Equity","BS_TOT_ASSET","FQ2 2004","FQ2 2004","Currency=USD","Period=FQ","BEST_FPERIOD_OVERRIDE=FQ","FILING_STATUS=OR","SCALING_FORMAT=MLN","Sort=A","Dates=H","DateFormat=P","Fill=—","Direction=H","UseDPDF=Y")</f>
        <v>1888.11</v>
      </c>
      <c r="Y29" s="16">
        <f>_xll.BDH("AMZN US Equity","BS_TOT_ASSET","FQ3 2004","FQ3 2004","Currency=USD","Period=FQ","BEST_FPERIOD_OVERRIDE=FQ","FILING_STATUS=OR","SCALING_FORMAT=MLN","Sort=A","Dates=H","DateFormat=P","Fill=—","Direction=H","UseDPDF=Y")</f>
        <v>2108.6680000000001</v>
      </c>
      <c r="Z29" s="16">
        <f>_xll.BDH("AMZN US Equity","BS_TOT_ASSET","FQ4 2004","FQ4 2004","Currency=USD","Period=FQ","BEST_FPERIOD_OVERRIDE=FQ","FILING_STATUS=OR","SCALING_FORMAT=MLN","Sort=A","Dates=H","DateFormat=P","Fill=—","Direction=H","UseDPDF=Y")</f>
        <v>3248.5081</v>
      </c>
      <c r="AA29" s="16">
        <f>_xll.BDH("AMZN US Equity","BS_TOT_ASSET","FQ1 2005","FQ1 2005","Currency=USD","Period=FQ","BEST_FPERIOD_OVERRIDE=FQ","FILING_STATUS=OR","SCALING_FORMAT=MLN","Sort=A","Dates=H","DateFormat=P","Fill=—","Direction=H","UseDPDF=Y")</f>
        <v>2472</v>
      </c>
      <c r="AB29" s="16">
        <f>_xll.BDH("AMZN US Equity","BS_TOT_ASSET","FQ2 2005","FQ2 2005","Currency=USD","Period=FQ","BEST_FPERIOD_OVERRIDE=FQ","FILING_STATUS=OR","SCALING_FORMAT=MLN","Sort=A","Dates=H","DateFormat=P","Fill=—","Direction=H","UseDPDF=Y")</f>
        <v>2601</v>
      </c>
      <c r="AC29" s="16">
        <f>_xll.BDH("AMZN US Equity","BS_TOT_ASSET","FQ3 2005","FQ3 2005","Currency=USD","Period=FQ","BEST_FPERIOD_OVERRIDE=FQ","FILING_STATUS=OR","SCALING_FORMAT=MLN","Sort=A","Dates=H","DateFormat=P","Fill=—","Direction=H","UseDPDF=Y")</f>
        <v>2832</v>
      </c>
      <c r="AD29" s="16">
        <f>_xll.BDH("AMZN US Equity","BS_TOT_ASSET","FQ4 2005","FQ4 2005","Currency=USD","Period=FQ","BEST_FPERIOD_OVERRIDE=FQ","FILING_STATUS=OR","SCALING_FORMAT=MLN","Sort=A","Dates=H","DateFormat=P","Fill=—","Direction=H","UseDPDF=Y")</f>
        <v>3696</v>
      </c>
      <c r="AE29" s="16">
        <f>_xll.BDH("AMZN US Equity","BS_TOT_ASSET","FQ1 2006","FQ1 2006","Currency=USD","Period=FQ","BEST_FPERIOD_OVERRIDE=FQ","FILING_STATUS=OR","SCALING_FORMAT=MLN","Sort=A","Dates=H","DateFormat=P","Fill=—","Direction=H","UseDPDF=Y")</f>
        <v>2990</v>
      </c>
      <c r="AF29" s="16">
        <f>_xll.BDH("AMZN US Equity","BS_TOT_ASSET","FQ2 2006","FQ2 2006","Currency=USD","Period=FQ","BEST_FPERIOD_OVERRIDE=FQ","FILING_STATUS=OR","SCALING_FORMAT=MLN","Sort=A","Dates=H","DateFormat=P","Fill=—","Direction=H","UseDPDF=Y")</f>
        <v>3165</v>
      </c>
      <c r="AG29" s="16">
        <f>_xll.BDH("AMZN US Equity","BS_TOT_ASSET","FQ3 2006","FQ3 2006","Currency=USD","Period=FQ","BEST_FPERIOD_OVERRIDE=FQ","FILING_STATUS=OR","SCALING_FORMAT=MLN","Sort=A","Dates=H","DateFormat=P","Fill=—","Direction=H","UseDPDF=Y")</f>
        <v>3268</v>
      </c>
      <c r="AH29" s="16">
        <f>_xll.BDH("AMZN US Equity","BS_TOT_ASSET","FQ4 2006","FQ4 2006","Currency=USD","Period=FQ","BEST_FPERIOD_OVERRIDE=FQ","FILING_STATUS=OR","SCALING_FORMAT=MLN","Sort=A","Dates=H","DateFormat=P","Fill=—","Direction=H","UseDPDF=Y")</f>
        <v>4363</v>
      </c>
      <c r="AI29" s="16">
        <f>_xll.BDH("AMZN US Equity","BS_TOT_ASSET","FQ1 2007","FQ1 2007","Currency=USD","Period=FQ","BEST_FPERIOD_OVERRIDE=FQ","FILING_STATUS=OR","SCALING_FORMAT=MLN","Sort=A","Dates=H","DateFormat=P","Fill=—","Direction=H","UseDPDF=Y")</f>
        <v>3661</v>
      </c>
      <c r="AJ29" s="16">
        <f>_xll.BDH("AMZN US Equity","BS_TOT_ASSET","FQ2 2007","FQ2 2007","Currency=USD","Period=FQ","BEST_FPERIOD_OVERRIDE=FQ","FILING_STATUS=OR","SCALING_FORMAT=MLN","Sort=A","Dates=H","DateFormat=P","Fill=—","Direction=H","UseDPDF=Y")</f>
        <v>3984</v>
      </c>
      <c r="AK29" s="16">
        <f>_xll.BDH("AMZN US Equity","BS_TOT_ASSET","FQ3 2007","FQ3 2007","Currency=USD","Period=FQ","BEST_FPERIOD_OVERRIDE=FQ","FILING_STATUS=OR","SCALING_FORMAT=MLN","Sort=A","Dates=H","DateFormat=P","Fill=—","Direction=H","UseDPDF=Y")</f>
        <v>4618</v>
      </c>
      <c r="AL29" s="16">
        <f>_xll.BDH("AMZN US Equity","BS_TOT_ASSET","FQ4 2007","FQ4 2007","Currency=USD","Period=FQ","BEST_FPERIOD_OVERRIDE=FQ","FILING_STATUS=OR","SCALING_FORMAT=MLN","Sort=A","Dates=H","DateFormat=P","Fill=—","Direction=H","UseDPDF=Y")</f>
        <v>6485</v>
      </c>
      <c r="AM29" s="16">
        <f>_xll.BDH("AMZN US Equity","BS_TOT_ASSET","FQ1 2008","FQ1 2008","Currency=USD","Period=FQ","BEST_FPERIOD_OVERRIDE=FQ","FILING_STATUS=OR","SCALING_FORMAT=MLN","Sort=A","Dates=H","DateFormat=P","Fill=—","Direction=H","UseDPDF=Y")</f>
        <v>5883</v>
      </c>
      <c r="AN29" s="16">
        <f>_xll.BDH("AMZN US Equity","BS_TOT_ASSET","FQ2 2008","FQ2 2008","Currency=USD","Period=FQ","BEST_FPERIOD_OVERRIDE=FQ","FILING_STATUS=OR","SCALING_FORMAT=MLN","Sort=A","Dates=H","DateFormat=P","Fill=—","Direction=H","UseDPDF=Y")</f>
        <v>6322</v>
      </c>
      <c r="AO29" s="16">
        <f>_xll.BDH("AMZN US Equity","BS_TOT_ASSET","FQ3 2008","FQ3 2008","Currency=USD","Period=FQ","BEST_FPERIOD_OVERRIDE=FQ","FILING_STATUS=OR","SCALING_FORMAT=MLN","Sort=A","Dates=H","DateFormat=P","Fill=—","Direction=H","UseDPDF=Y")</f>
        <v>6566</v>
      </c>
      <c r="AP29" s="16">
        <f>_xll.BDH("AMZN US Equity","BS_TOT_ASSET","FQ4 2008","FQ4 2008","Currency=USD","Period=FQ","BEST_FPERIOD_OVERRIDE=FQ","FILING_STATUS=OR","SCALING_FORMAT=MLN","Sort=A","Dates=H","DateFormat=P","Fill=—","Direction=H","UseDPDF=Y")</f>
        <v>8314</v>
      </c>
    </row>
    <row r="30" spans="1:42" x14ac:dyDescent="0.25">
      <c r="A30" s="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x14ac:dyDescent="0.25">
      <c r="A31" s="6" t="s">
        <v>225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x14ac:dyDescent="0.25">
      <c r="A32" s="10" t="s">
        <v>226</v>
      </c>
      <c r="B32" s="10" t="s">
        <v>227</v>
      </c>
      <c r="C32" s="13">
        <f>_xll.BDH("AMZN US Equity","ACCT_PAYABLE_&amp;_ACCRUALS_DETAILED","FQ4 1998","FQ4 1998","Currency=USD","Period=FQ","BEST_FPERIOD_OVERRIDE=FQ","FILING_STATUS=OR","SCALING_FORMAT=MLN","Sort=A","Dates=H","DateFormat=P","Fill=—","Direction=H","UseDPDF=Y")</f>
        <v>113.273</v>
      </c>
      <c r="D32" s="13">
        <f>_xll.BDH("AMZN US Equity","ACCT_PAYABLE_&amp;_ACCRUALS_DETAILED","FQ1 1999","FQ1 1999","Currency=USD","Period=FQ","BEST_FPERIOD_OVERRIDE=FQ","FILING_STATUS=OR","SCALING_FORMAT=MLN","Sort=A","Dates=H","DateFormat=P","Fill=—","Direction=H","UseDPDF=Y")</f>
        <v>133.018</v>
      </c>
      <c r="E32" s="13">
        <f>_xll.BDH("AMZN US Equity","ACCT_PAYABLE_&amp;_ACCRUALS_DETAILED","FQ2 1999","FQ2 1999","Currency=USD","Period=FQ","BEST_FPERIOD_OVERRIDE=FQ","FILING_STATUS=OR","SCALING_FORMAT=MLN","Sort=A","Dates=H","DateFormat=P","Fill=—","Direction=H","UseDPDF=Y")</f>
        <v>165.983</v>
      </c>
      <c r="F32" s="13">
        <f>_xll.BDH("AMZN US Equity","ACCT_PAYABLE_&amp;_ACCRUALS_DETAILED","FQ3 1999","FQ3 1999","Currency=USD","Period=FQ","BEST_FPERIOD_OVERRIDE=FQ","FILING_STATUS=OR","SCALING_FORMAT=MLN","Sort=A","Dates=H","DateFormat=P","Fill=—","Direction=H","UseDPDF=Y")</f>
        <v>236.71100000000001</v>
      </c>
      <c r="G32" s="13">
        <f>_xll.BDH("AMZN US Equity","ACCT_PAYABLE_&amp;_ACCRUALS_DETAILED","FQ4 1999","FQ4 1999","Currency=USD","Period=FQ","BEST_FPERIOD_OVERRIDE=FQ","FILING_STATUS=OR","SCALING_FORMAT=MLN","Sort=A","Dates=H","DateFormat=P","Fill=—","Direction=H","UseDPDF=Y")</f>
        <v>463.02600000000001</v>
      </c>
      <c r="H32" s="13">
        <f>_xll.BDH("AMZN US Equity","ACCT_PAYABLE_&amp;_ACCRUALS_DETAILED","FQ1 2000","FQ1 2000","Currency=USD","Period=FQ","BEST_FPERIOD_OVERRIDE=FQ","FILING_STATUS=OR","SCALING_FORMAT=MLN","Sort=A","Dates=H","DateFormat=P","Fill=—","Direction=H","UseDPDF=Y")</f>
        <v>255.797</v>
      </c>
      <c r="I32" s="13">
        <f>_xll.BDH("AMZN US Equity","ACCT_PAYABLE_&amp;_ACCRUALS_DETAILED","FQ3 2000","FQ3 2000","Currency=USD","Period=FQ","BEST_FPERIOD_OVERRIDE=FQ","FILING_STATUS=OR","SCALING_FORMAT=MLN","Sort=A","Dates=H","DateFormat=P","Fill=—","Direction=H","UseDPDF=Y")</f>
        <v>304.709</v>
      </c>
      <c r="J32" s="13">
        <f>_xll.BDH("AMZN US Equity","ACCT_PAYABLE_&amp;_ACCRUALS_DETAILED","FQ4 2000","FQ4 2000","Currency=USD","Period=FQ","BEST_FPERIOD_OVERRIDE=FQ","FILING_STATUS=OR","SCALING_FORMAT=MLN","Sort=A","Dates=H","DateFormat=P","Fill=—","Direction=H","UseDPDF=Y")</f>
        <v>485.38299999999998</v>
      </c>
      <c r="K32" s="13">
        <f>_xll.BDH("AMZN US Equity","ACCT_PAYABLE_&amp;_ACCRUALS_DETAILED","FQ1 2001","FQ1 2001","Currency=USD","Period=FQ","BEST_FPERIOD_OVERRIDE=FQ","FILING_STATUS=OR","SCALING_FORMAT=MLN","Sort=A","Dates=H","DateFormat=P","Fill=—","Direction=H","UseDPDF=Y")</f>
        <v>257.411</v>
      </c>
      <c r="L32" s="13">
        <f>_xll.BDH("AMZN US Equity","ACCT_PAYABLE_&amp;_ACCRUALS_DETAILED","FQ2 2001","FQ2 2001","Currency=USD","Period=FQ","BEST_FPERIOD_OVERRIDE=FQ","FILING_STATUS=OR","SCALING_FORMAT=MLN","Sort=A","Dates=H","DateFormat=P","Fill=—","Direction=H","UseDPDF=Y")</f>
        <v>257.976</v>
      </c>
      <c r="M32" s="13">
        <f>_xll.BDH("AMZN US Equity","ACCT_PAYABLE_&amp;_ACCRUALS_DETAILED","FQ3 2001","FQ3 2001","Currency=USD","Period=FQ","BEST_FPERIOD_OVERRIDE=FQ","FILING_STATUS=OR","SCALING_FORMAT=MLN","Sort=A","Dates=H","DateFormat=P","Fill=—","Direction=H","UseDPDF=Y")</f>
        <v>236.99199999999999</v>
      </c>
      <c r="N32" s="13">
        <f>_xll.BDH("AMZN US Equity","ACCT_PAYABLE_&amp;_ACCRUALS_DETAILED","FQ4 2001","FQ4 2001","Currency=USD","Period=FQ","BEST_FPERIOD_OVERRIDE=FQ","FILING_STATUS=OR","SCALING_FORMAT=MLN","Sort=A","Dates=H","DateFormat=P","Fill=—","Direction=H","UseDPDF=Y")</f>
        <v>444.74799999999999</v>
      </c>
      <c r="O32" s="13">
        <f>_xll.BDH("AMZN US Equity","ACCT_PAYABLE_&amp;_ACCRUALS_DETAILED","FQ1 2002","FQ1 2002","Currency=USD","Period=FQ","BEST_FPERIOD_OVERRIDE=FQ","FILING_STATUS=OR","SCALING_FORMAT=MLN","Sort=A","Dates=H","DateFormat=P","Fill=—","Direction=H","UseDPDF=Y")</f>
        <v>314.61599999999999</v>
      </c>
      <c r="P32" s="13">
        <f>_xll.BDH("AMZN US Equity","ACCT_PAYABLE_&amp;_ACCRUALS_DETAILED","FQ2 2002","FQ2 2002","Currency=USD","Period=FQ","BEST_FPERIOD_OVERRIDE=FQ","FILING_STATUS=OR","SCALING_FORMAT=MLN","Sort=A","Dates=H","DateFormat=P","Fill=—","Direction=H","UseDPDF=Y")</f>
        <v>296.36799999999999</v>
      </c>
      <c r="Q32" s="13">
        <f>_xll.BDH("AMZN US Equity","ACCT_PAYABLE_&amp;_ACCRUALS_DETAILED","FQ3 2002","FQ3 2002","Currency=USD","Period=FQ","BEST_FPERIOD_OVERRIDE=FQ","FILING_STATUS=OR","SCALING_FORMAT=MLN","Sort=A","Dates=H","DateFormat=P","Fill=—","Direction=H","UseDPDF=Y")</f>
        <v>347.51900000000001</v>
      </c>
      <c r="R32" s="13">
        <f>_xll.BDH("AMZN US Equity","ACCT_PAYABLE_&amp;_ACCRUALS_DETAILED","FQ4 2002","FQ4 2002","Currency=USD","Period=FQ","BEST_FPERIOD_OVERRIDE=FQ","FILING_STATUS=OR","SCALING_FORMAT=MLN","Sort=A","Dates=H","DateFormat=P","Fill=—","Direction=H","UseDPDF=Y")</f>
        <v>618.12800000000004</v>
      </c>
      <c r="S32" s="13">
        <f>_xll.BDH("AMZN US Equity","ACCT_PAYABLE_&amp;_ACCRUALS_DETAILED","FQ1 2003","FQ1 2003","Currency=USD","Period=FQ","BEST_FPERIOD_OVERRIDE=FQ","FILING_STATUS=OR","SCALING_FORMAT=MLN","Sort=A","Dates=H","DateFormat=P","Fill=—","Direction=H","UseDPDF=Y")</f>
        <v>393.69600000000003</v>
      </c>
      <c r="T32" s="13">
        <f>_xll.BDH("AMZN US Equity","ACCT_PAYABLE_&amp;_ACCRUALS_DETAILED","FQ2 2003","FQ2 2003","Currency=USD","Period=FQ","BEST_FPERIOD_OVERRIDE=FQ","FILING_STATUS=OR","SCALING_FORMAT=MLN","Sort=A","Dates=H","DateFormat=P","Fill=—","Direction=H","UseDPDF=Y")</f>
        <v>445.09800000000001</v>
      </c>
      <c r="U32" s="13">
        <f>_xll.BDH("AMZN US Equity","ACCT_PAYABLE_&amp;_ACCRUALS_DETAILED","FQ3 2003","FQ3 2003","Currency=USD","Period=FQ","BEST_FPERIOD_OVERRIDE=FQ","FILING_STATUS=OR","SCALING_FORMAT=MLN","Sort=A","Dates=H","DateFormat=P","Fill=—","Direction=H","UseDPDF=Y")</f>
        <v>499.18900000000002</v>
      </c>
      <c r="V32" s="13">
        <f>_xll.BDH("AMZN US Equity","ACCT_PAYABLE_&amp;_ACCRUALS_DETAILED","FQ4 2003","FQ4 2003","Currency=USD","Period=FQ","BEST_FPERIOD_OVERRIDE=FQ","FILING_STATUS=OR","SCALING_FORMAT=MLN","Sort=A","Dates=H","DateFormat=P","Fill=—","Direction=H","UseDPDF=Y")</f>
        <v>819.81100000000004</v>
      </c>
      <c r="W32" s="13">
        <f>_xll.BDH("AMZN US Equity","ACCT_PAYABLE_&amp;_ACCRUALS_DETAILED","FQ1 2004","FQ1 2004","Currency=USD","Period=FQ","BEST_FPERIOD_OVERRIDE=FQ","FILING_STATUS=OR","SCALING_FORMAT=MLN","Sort=A","Dates=H","DateFormat=P","Fill=—","Direction=H","UseDPDF=Y")</f>
        <v>567.56299999999999</v>
      </c>
      <c r="X32" s="13">
        <f>_xll.BDH("AMZN US Equity","ACCT_PAYABLE_&amp;_ACCRUALS_DETAILED","FQ2 2004","FQ2 2004","Currency=USD","Period=FQ","BEST_FPERIOD_OVERRIDE=FQ","FILING_STATUS=OR","SCALING_FORMAT=MLN","Sort=A","Dates=H","DateFormat=P","Fill=—","Direction=H","UseDPDF=Y")</f>
        <v>585.12400000000002</v>
      </c>
      <c r="Y32" s="13">
        <f>_xll.BDH("AMZN US Equity","ACCT_PAYABLE_&amp;_ACCRUALS_DETAILED","FQ3 2004","FQ3 2004","Currency=USD","Period=FQ","BEST_FPERIOD_OVERRIDE=FQ","FILING_STATUS=OR","SCALING_FORMAT=MLN","Sort=A","Dates=H","DateFormat=P","Fill=—","Direction=H","UseDPDF=Y")</f>
        <v>688.29700000000003</v>
      </c>
      <c r="Z32" s="13">
        <f>_xll.BDH("AMZN US Equity","ACCT_PAYABLE_&amp;_ACCRUALS_DETAILED","FQ4 2004","FQ4 2004","Currency=USD","Period=FQ","BEST_FPERIOD_OVERRIDE=FQ","FILING_STATUS=OR","SCALING_FORMAT=MLN","Sort=A","Dates=H","DateFormat=P","Fill=—","Direction=H","UseDPDF=Y")</f>
        <v>1141.7329999999999</v>
      </c>
      <c r="AA32" s="13">
        <f>_xll.BDH("AMZN US Equity","ACCT_PAYABLE_&amp;_ACCRUALS_DETAILED","FQ1 2005","FQ1 2005","Currency=USD","Period=FQ","BEST_FPERIOD_OVERRIDE=FQ","FILING_STATUS=OR","SCALING_FORMAT=MLN","Sort=A","Dates=H","DateFormat=P","Fill=—","Direction=H","UseDPDF=Y")</f>
        <v>704</v>
      </c>
      <c r="AB32" s="13">
        <f>_xll.BDH("AMZN US Equity","ACCT_PAYABLE_&amp;_ACCRUALS_DETAILED","FQ2 2005","FQ2 2005","Currency=USD","Period=FQ","BEST_FPERIOD_OVERRIDE=FQ","FILING_STATUS=OR","SCALING_FORMAT=MLN","Sort=A","Dates=H","DateFormat=P","Fill=—","Direction=H","UseDPDF=Y")</f>
        <v>735</v>
      </c>
      <c r="AC32" s="13">
        <f>_xll.BDH("AMZN US Equity","ACCT_PAYABLE_&amp;_ACCRUALS_DETAILED","FQ3 2005","FQ3 2005","Currency=USD","Period=FQ","BEST_FPERIOD_OVERRIDE=FQ","FILING_STATUS=OR","SCALING_FORMAT=MLN","Sort=A","Dates=H","DateFormat=P","Fill=—","Direction=H","UseDPDF=Y")</f>
        <v>876</v>
      </c>
      <c r="AD32" s="13">
        <f>_xll.BDH("AMZN US Equity","ACCT_PAYABLE_&amp;_ACCRUALS_DETAILED","FQ4 2005","FQ4 2005","Currency=USD","Period=FQ","BEST_FPERIOD_OVERRIDE=FQ","FILING_STATUS=OR","SCALING_FORMAT=MLN","Sort=A","Dates=H","DateFormat=P","Fill=—","Direction=H","UseDPDF=Y")</f>
        <v>1366</v>
      </c>
      <c r="AE32" s="13">
        <f>_xll.BDH("AMZN US Equity","ACCT_PAYABLE_&amp;_ACCRUALS_DETAILED","FQ1 2006","FQ1 2006","Currency=USD","Period=FQ","BEST_FPERIOD_OVERRIDE=FQ","FILING_STATUS=OR","SCALING_FORMAT=MLN","Sort=A","Dates=H","DateFormat=P","Fill=—","Direction=H","UseDPDF=Y")</f>
        <v>920</v>
      </c>
      <c r="AF32" s="13">
        <f>_xll.BDH("AMZN US Equity","ACCT_PAYABLE_&amp;_ACCRUALS_DETAILED","FQ2 2006","FQ2 2006","Currency=USD","Period=FQ","BEST_FPERIOD_OVERRIDE=FQ","FILING_STATUS=OR","SCALING_FORMAT=MLN","Sort=A","Dates=H","DateFormat=P","Fill=—","Direction=H","UseDPDF=Y")</f>
        <v>943</v>
      </c>
      <c r="AG32" s="13">
        <f>_xll.BDH("AMZN US Equity","ACCT_PAYABLE_&amp;_ACCRUALS_DETAILED","FQ3 2006","FQ3 2006","Currency=USD","Period=FQ","BEST_FPERIOD_OVERRIDE=FQ","FILING_STATUS=OR","SCALING_FORMAT=MLN","Sort=A","Dates=H","DateFormat=P","Fill=—","Direction=H","UseDPDF=Y")</f>
        <v>1196</v>
      </c>
      <c r="AH32" s="13">
        <f>_xll.BDH("AMZN US Equity","ACCT_PAYABLE_&amp;_ACCRUALS_DETAILED","FQ4 2006","FQ4 2006","Currency=USD","Period=FQ","BEST_FPERIOD_OVERRIDE=FQ","FILING_STATUS=OR","SCALING_FORMAT=MLN","Sort=A","Dates=H","DateFormat=P","Fill=—","Direction=H","UseDPDF=Y")</f>
        <v>1816</v>
      </c>
      <c r="AI32" s="13">
        <f>_xll.BDH("AMZN US Equity","ACCT_PAYABLE_&amp;_ACCRUALS_DETAILED","FQ1 2007","FQ1 2007","Currency=USD","Period=FQ","BEST_FPERIOD_OVERRIDE=FQ","FILING_STATUS=OR","SCALING_FORMAT=MLN","Sort=A","Dates=H","DateFormat=P","Fill=—","Direction=H","UseDPDF=Y")</f>
        <v>1211</v>
      </c>
      <c r="AJ32" s="13">
        <f>_xll.BDH("AMZN US Equity","ACCT_PAYABLE_&amp;_ACCRUALS_DETAILED","FQ2 2007","FQ2 2007","Currency=USD","Period=FQ","BEST_FPERIOD_OVERRIDE=FQ","FILING_STATUS=OR","SCALING_FORMAT=MLN","Sort=A","Dates=H","DateFormat=P","Fill=—","Direction=H","UseDPDF=Y")</f>
        <v>1295</v>
      </c>
      <c r="AK32" s="13">
        <f>_xll.BDH("AMZN US Equity","ACCT_PAYABLE_&amp;_ACCRUALS_DETAILED","FQ3 2007","FQ3 2007","Currency=USD","Period=FQ","BEST_FPERIOD_OVERRIDE=FQ","FILING_STATUS=OR","SCALING_FORMAT=MLN","Sort=A","Dates=H","DateFormat=P","Fill=—","Direction=H","UseDPDF=Y")</f>
        <v>1674</v>
      </c>
      <c r="AL32" s="13">
        <f>_xll.BDH("AMZN US Equity","ACCT_PAYABLE_&amp;_ACCRUALS_DETAILED","FQ4 2007","FQ4 2007","Currency=USD","Period=FQ","BEST_FPERIOD_OVERRIDE=FQ","FILING_STATUS=OR","SCALING_FORMAT=MLN","Sort=A","Dates=H","DateFormat=P","Fill=—","Direction=H","UseDPDF=Y")</f>
        <v>2795</v>
      </c>
      <c r="AM32" s="13">
        <f>_xll.BDH("AMZN US Equity","ACCT_PAYABLE_&amp;_ACCRUALS_DETAILED","FQ1 2008","FQ1 2008","Currency=USD","Period=FQ","BEST_FPERIOD_OVERRIDE=FQ","FILING_STATUS=OR","SCALING_FORMAT=MLN","Sort=A","Dates=H","DateFormat=P","Fill=—","Direction=H","UseDPDF=Y")</f>
        <v>1864</v>
      </c>
      <c r="AN32" s="13">
        <f>_xll.BDH("AMZN US Equity","ACCT_PAYABLE_&amp;_ACCRUALS_DETAILED","FQ2 2008","FQ2 2008","Currency=USD","Period=FQ","BEST_FPERIOD_OVERRIDE=FQ","FILING_STATUS=OR","SCALING_FORMAT=MLN","Sort=A","Dates=H","DateFormat=P","Fill=—","Direction=H","UseDPDF=Y")</f>
        <v>1963</v>
      </c>
      <c r="AO32" s="13">
        <f>_xll.BDH("AMZN US Equity","ACCT_PAYABLE_&amp;_ACCRUALS_DETAILED","FQ3 2008","FQ3 2008","Currency=USD","Period=FQ","BEST_FPERIOD_OVERRIDE=FQ","FILING_STATUS=OR","SCALING_FORMAT=MLN","Sort=A","Dates=H","DateFormat=P","Fill=—","Direction=H","UseDPDF=Y")</f>
        <v>2242</v>
      </c>
      <c r="AP32" s="13">
        <f>_xll.BDH("AMZN US Equity","ACCT_PAYABLE_&amp;_ACCRUALS_DETAILED","FQ4 2008","FQ4 2008","Currency=USD","Period=FQ","BEST_FPERIOD_OVERRIDE=FQ","FILING_STATUS=OR","SCALING_FORMAT=MLN","Sort=A","Dates=H","DateFormat=P","Fill=—","Direction=H","UseDPDF=Y")</f>
        <v>3594</v>
      </c>
    </row>
    <row r="33" spans="1:42" x14ac:dyDescent="0.25">
      <c r="A33" s="10" t="s">
        <v>228</v>
      </c>
      <c r="B33" s="10" t="s">
        <v>229</v>
      </c>
      <c r="C33" s="13">
        <f>_xll.BDH("AMZN US Equity","BS_ACCT_PAYABLE","FQ4 1998","FQ4 1998","Currency=USD","Period=FQ","BEST_FPERIOD_OVERRIDE=FQ","FILING_STATUS=OR","SCALING_FORMAT=MLN","Sort=A","Dates=H","DateFormat=P","Fill=—","Direction=H","UseDPDF=Y")</f>
        <v>113.273</v>
      </c>
      <c r="D33" s="13">
        <f>_xll.BDH("AMZN US Equity","BS_ACCT_PAYABLE","FQ1 1999","FQ1 1999","Currency=USD","Period=FQ","BEST_FPERIOD_OVERRIDE=FQ","FILING_STATUS=OR","SCALING_FORMAT=MLN","Sort=A","Dates=H","DateFormat=P","Fill=—","Direction=H","UseDPDF=Y")</f>
        <v>133.018</v>
      </c>
      <c r="E33" s="13">
        <f>_xll.BDH("AMZN US Equity","BS_ACCT_PAYABLE","FQ2 1999","FQ2 1999","Currency=USD","Period=FQ","BEST_FPERIOD_OVERRIDE=FQ","FILING_STATUS=OR","SCALING_FORMAT=MLN","Sort=A","Dates=H","DateFormat=P","Fill=—","Direction=H","UseDPDF=Y")</f>
        <v>165.983</v>
      </c>
      <c r="F33" s="13">
        <f>_xll.BDH("AMZN US Equity","BS_ACCT_PAYABLE","FQ3 1999","FQ3 1999","Currency=USD","Period=FQ","BEST_FPERIOD_OVERRIDE=FQ","FILING_STATUS=OR","SCALING_FORMAT=MLN","Sort=A","Dates=H","DateFormat=P","Fill=—","Direction=H","UseDPDF=Y")</f>
        <v>236.71100000000001</v>
      </c>
      <c r="G33" s="13">
        <f>_xll.BDH("AMZN US Equity","BS_ACCT_PAYABLE","FQ4 1999","FQ4 1999","Currency=USD","Period=FQ","BEST_FPERIOD_OVERRIDE=FQ","FILING_STATUS=OR","SCALING_FORMAT=MLN","Sort=A","Dates=H","DateFormat=P","Fill=—","Direction=H","UseDPDF=Y")</f>
        <v>463.02600000000001</v>
      </c>
      <c r="H33" s="13">
        <f>_xll.BDH("AMZN US Equity","BS_ACCT_PAYABLE","FQ1 2000","FQ1 2000","Currency=USD","Period=FQ","BEST_FPERIOD_OVERRIDE=FQ","FILING_STATUS=OR","SCALING_FORMAT=MLN","Sort=A","Dates=H","DateFormat=P","Fill=—","Direction=H","UseDPDF=Y")</f>
        <v>255.797</v>
      </c>
      <c r="I33" s="13">
        <f>_xll.BDH("AMZN US Equity","BS_ACCT_PAYABLE","FQ3 2000","FQ3 2000","Currency=USD","Period=FQ","BEST_FPERIOD_OVERRIDE=FQ","FILING_STATUS=OR","SCALING_FORMAT=MLN","Sort=A","Dates=H","DateFormat=P","Fill=—","Direction=H","UseDPDF=Y")</f>
        <v>304.709</v>
      </c>
      <c r="J33" s="13">
        <f>_xll.BDH("AMZN US Equity","BS_ACCT_PAYABLE","FQ4 2000","FQ4 2000","Currency=USD","Period=FQ","BEST_FPERIOD_OVERRIDE=FQ","FILING_STATUS=OR","SCALING_FORMAT=MLN","Sort=A","Dates=H","DateFormat=P","Fill=—","Direction=H","UseDPDF=Y")</f>
        <v>485.38299999999998</v>
      </c>
      <c r="K33" s="13">
        <f>_xll.BDH("AMZN US Equity","BS_ACCT_PAYABLE","FQ1 2001","FQ1 2001","Currency=USD","Period=FQ","BEST_FPERIOD_OVERRIDE=FQ","FILING_STATUS=OR","SCALING_FORMAT=MLN","Sort=A","Dates=H","DateFormat=P","Fill=—","Direction=H","UseDPDF=Y")</f>
        <v>257.411</v>
      </c>
      <c r="L33" s="13">
        <f>_xll.BDH("AMZN US Equity","BS_ACCT_PAYABLE","FQ2 2001","FQ2 2001","Currency=USD","Period=FQ","BEST_FPERIOD_OVERRIDE=FQ","FILING_STATUS=OR","SCALING_FORMAT=MLN","Sort=A","Dates=H","DateFormat=P","Fill=—","Direction=H","UseDPDF=Y")</f>
        <v>257.976</v>
      </c>
      <c r="M33" s="13">
        <f>_xll.BDH("AMZN US Equity","BS_ACCT_PAYABLE","FQ3 2001","FQ3 2001","Currency=USD","Period=FQ","BEST_FPERIOD_OVERRIDE=FQ","FILING_STATUS=OR","SCALING_FORMAT=MLN","Sort=A","Dates=H","DateFormat=P","Fill=—","Direction=H","UseDPDF=Y")</f>
        <v>236.99199999999999</v>
      </c>
      <c r="N33" s="13">
        <f>_xll.BDH("AMZN US Equity","BS_ACCT_PAYABLE","FQ4 2001","FQ4 2001","Currency=USD","Period=FQ","BEST_FPERIOD_OVERRIDE=FQ","FILING_STATUS=OR","SCALING_FORMAT=MLN","Sort=A","Dates=H","DateFormat=P","Fill=—","Direction=H","UseDPDF=Y")</f>
        <v>444.74799999999999</v>
      </c>
      <c r="O33" s="13">
        <f>_xll.BDH("AMZN US Equity","BS_ACCT_PAYABLE","FQ1 2002","FQ1 2002","Currency=USD","Period=FQ","BEST_FPERIOD_OVERRIDE=FQ","FILING_STATUS=OR","SCALING_FORMAT=MLN","Sort=A","Dates=H","DateFormat=P","Fill=—","Direction=H","UseDPDF=Y")</f>
        <v>314.61599999999999</v>
      </c>
      <c r="P33" s="13">
        <f>_xll.BDH("AMZN US Equity","BS_ACCT_PAYABLE","FQ2 2002","FQ2 2002","Currency=USD","Period=FQ","BEST_FPERIOD_OVERRIDE=FQ","FILING_STATUS=OR","SCALING_FORMAT=MLN","Sort=A","Dates=H","DateFormat=P","Fill=—","Direction=H","UseDPDF=Y")</f>
        <v>296.36799999999999</v>
      </c>
      <c r="Q33" s="13">
        <f>_xll.BDH("AMZN US Equity","BS_ACCT_PAYABLE","FQ3 2002","FQ3 2002","Currency=USD","Period=FQ","BEST_FPERIOD_OVERRIDE=FQ","FILING_STATUS=OR","SCALING_FORMAT=MLN","Sort=A","Dates=H","DateFormat=P","Fill=—","Direction=H","UseDPDF=Y")</f>
        <v>347.51900000000001</v>
      </c>
      <c r="R33" s="13">
        <f>_xll.BDH("AMZN US Equity","BS_ACCT_PAYABLE","FQ4 2002","FQ4 2002","Currency=USD","Period=FQ","BEST_FPERIOD_OVERRIDE=FQ","FILING_STATUS=OR","SCALING_FORMAT=MLN","Sort=A","Dates=H","DateFormat=P","Fill=—","Direction=H","UseDPDF=Y")</f>
        <v>618.12800000000004</v>
      </c>
      <c r="S33" s="13">
        <f>_xll.BDH("AMZN US Equity","BS_ACCT_PAYABLE","FQ1 2003","FQ1 2003","Currency=USD","Period=FQ","BEST_FPERIOD_OVERRIDE=FQ","FILING_STATUS=OR","SCALING_FORMAT=MLN","Sort=A","Dates=H","DateFormat=P","Fill=—","Direction=H","UseDPDF=Y")</f>
        <v>393.69600000000003</v>
      </c>
      <c r="T33" s="13">
        <f>_xll.BDH("AMZN US Equity","BS_ACCT_PAYABLE","FQ2 2003","FQ2 2003","Currency=USD","Period=FQ","BEST_FPERIOD_OVERRIDE=FQ","FILING_STATUS=OR","SCALING_FORMAT=MLN","Sort=A","Dates=H","DateFormat=P","Fill=—","Direction=H","UseDPDF=Y")</f>
        <v>445.09800000000001</v>
      </c>
      <c r="U33" s="13">
        <f>_xll.BDH("AMZN US Equity","BS_ACCT_PAYABLE","FQ3 2003","FQ3 2003","Currency=USD","Period=FQ","BEST_FPERIOD_OVERRIDE=FQ","FILING_STATUS=OR","SCALING_FORMAT=MLN","Sort=A","Dates=H","DateFormat=P","Fill=—","Direction=H","UseDPDF=Y")</f>
        <v>499.18900000000002</v>
      </c>
      <c r="V33" s="13">
        <f>_xll.BDH("AMZN US Equity","BS_ACCT_PAYABLE","FQ4 2003","FQ4 2003","Currency=USD","Period=FQ","BEST_FPERIOD_OVERRIDE=FQ","FILING_STATUS=OR","SCALING_FORMAT=MLN","Sort=A","Dates=H","DateFormat=P","Fill=—","Direction=H","UseDPDF=Y")</f>
        <v>819.81100000000004</v>
      </c>
      <c r="W33" s="13">
        <f>_xll.BDH("AMZN US Equity","BS_ACCT_PAYABLE","FQ1 2004","FQ1 2004","Currency=USD","Period=FQ","BEST_FPERIOD_OVERRIDE=FQ","FILING_STATUS=OR","SCALING_FORMAT=MLN","Sort=A","Dates=H","DateFormat=P","Fill=—","Direction=H","UseDPDF=Y")</f>
        <v>567.56299999999999</v>
      </c>
      <c r="X33" s="13">
        <f>_xll.BDH("AMZN US Equity","BS_ACCT_PAYABLE","FQ2 2004","FQ2 2004","Currency=USD","Period=FQ","BEST_FPERIOD_OVERRIDE=FQ","FILING_STATUS=OR","SCALING_FORMAT=MLN","Sort=A","Dates=H","DateFormat=P","Fill=—","Direction=H","UseDPDF=Y")</f>
        <v>585.12400000000002</v>
      </c>
      <c r="Y33" s="13">
        <f>_xll.BDH("AMZN US Equity","BS_ACCT_PAYABLE","FQ3 2004","FQ3 2004","Currency=USD","Period=FQ","BEST_FPERIOD_OVERRIDE=FQ","FILING_STATUS=OR","SCALING_FORMAT=MLN","Sort=A","Dates=H","DateFormat=P","Fill=—","Direction=H","UseDPDF=Y")</f>
        <v>688.29700000000003</v>
      </c>
      <c r="Z33" s="13">
        <f>_xll.BDH("AMZN US Equity","BS_ACCT_PAYABLE","FQ4 2004","FQ4 2004","Currency=USD","Period=FQ","BEST_FPERIOD_OVERRIDE=FQ","FILING_STATUS=OR","SCALING_FORMAT=MLN","Sort=A","Dates=H","DateFormat=P","Fill=—","Direction=H","UseDPDF=Y")</f>
        <v>1141.7329999999999</v>
      </c>
      <c r="AA33" s="13">
        <f>_xll.BDH("AMZN US Equity","BS_ACCT_PAYABLE","FQ1 2005","FQ1 2005","Currency=USD","Period=FQ","BEST_FPERIOD_OVERRIDE=FQ","FILING_STATUS=OR","SCALING_FORMAT=MLN","Sort=A","Dates=H","DateFormat=P","Fill=—","Direction=H","UseDPDF=Y")</f>
        <v>704</v>
      </c>
      <c r="AB33" s="13">
        <f>_xll.BDH("AMZN US Equity","BS_ACCT_PAYABLE","FQ2 2005","FQ2 2005","Currency=USD","Period=FQ","BEST_FPERIOD_OVERRIDE=FQ","FILING_STATUS=OR","SCALING_FORMAT=MLN","Sort=A","Dates=H","DateFormat=P","Fill=—","Direction=H","UseDPDF=Y")</f>
        <v>735</v>
      </c>
      <c r="AC33" s="13">
        <f>_xll.BDH("AMZN US Equity","BS_ACCT_PAYABLE","FQ3 2005","FQ3 2005","Currency=USD","Period=FQ","BEST_FPERIOD_OVERRIDE=FQ","FILING_STATUS=OR","SCALING_FORMAT=MLN","Sort=A","Dates=H","DateFormat=P","Fill=—","Direction=H","UseDPDF=Y")</f>
        <v>876</v>
      </c>
      <c r="AD33" s="13">
        <f>_xll.BDH("AMZN US Equity","BS_ACCT_PAYABLE","FQ4 2005","FQ4 2005","Currency=USD","Period=FQ","BEST_FPERIOD_OVERRIDE=FQ","FILING_STATUS=OR","SCALING_FORMAT=MLN","Sort=A","Dates=H","DateFormat=P","Fill=—","Direction=H","UseDPDF=Y")</f>
        <v>1366</v>
      </c>
      <c r="AE33" s="13">
        <f>_xll.BDH("AMZN US Equity","BS_ACCT_PAYABLE","FQ1 2006","FQ1 2006","Currency=USD","Period=FQ","BEST_FPERIOD_OVERRIDE=FQ","FILING_STATUS=OR","SCALING_FORMAT=MLN","Sort=A","Dates=H","DateFormat=P","Fill=—","Direction=H","UseDPDF=Y")</f>
        <v>920</v>
      </c>
      <c r="AF33" s="13">
        <f>_xll.BDH("AMZN US Equity","BS_ACCT_PAYABLE","FQ2 2006","FQ2 2006","Currency=USD","Period=FQ","BEST_FPERIOD_OVERRIDE=FQ","FILING_STATUS=OR","SCALING_FORMAT=MLN","Sort=A","Dates=H","DateFormat=P","Fill=—","Direction=H","UseDPDF=Y")</f>
        <v>943</v>
      </c>
      <c r="AG33" s="13">
        <f>_xll.BDH("AMZN US Equity","BS_ACCT_PAYABLE","FQ3 2006","FQ3 2006","Currency=USD","Period=FQ","BEST_FPERIOD_OVERRIDE=FQ","FILING_STATUS=OR","SCALING_FORMAT=MLN","Sort=A","Dates=H","DateFormat=P","Fill=—","Direction=H","UseDPDF=Y")</f>
        <v>1196</v>
      </c>
      <c r="AH33" s="13">
        <f>_xll.BDH("AMZN US Equity","BS_ACCT_PAYABLE","FQ4 2006","FQ4 2006","Currency=USD","Period=FQ","BEST_FPERIOD_OVERRIDE=FQ","FILING_STATUS=OR","SCALING_FORMAT=MLN","Sort=A","Dates=H","DateFormat=P","Fill=—","Direction=H","UseDPDF=Y")</f>
        <v>1816</v>
      </c>
      <c r="AI33" s="13">
        <f>_xll.BDH("AMZN US Equity","BS_ACCT_PAYABLE","FQ1 2007","FQ1 2007","Currency=USD","Period=FQ","BEST_FPERIOD_OVERRIDE=FQ","FILING_STATUS=OR","SCALING_FORMAT=MLN","Sort=A","Dates=H","DateFormat=P","Fill=—","Direction=H","UseDPDF=Y")</f>
        <v>1211</v>
      </c>
      <c r="AJ33" s="13">
        <f>_xll.BDH("AMZN US Equity","BS_ACCT_PAYABLE","FQ2 2007","FQ2 2007","Currency=USD","Period=FQ","BEST_FPERIOD_OVERRIDE=FQ","FILING_STATUS=OR","SCALING_FORMAT=MLN","Sort=A","Dates=H","DateFormat=P","Fill=—","Direction=H","UseDPDF=Y")</f>
        <v>1295</v>
      </c>
      <c r="AK33" s="13">
        <f>_xll.BDH("AMZN US Equity","BS_ACCT_PAYABLE","FQ3 2007","FQ3 2007","Currency=USD","Period=FQ","BEST_FPERIOD_OVERRIDE=FQ","FILING_STATUS=OR","SCALING_FORMAT=MLN","Sort=A","Dates=H","DateFormat=P","Fill=—","Direction=H","UseDPDF=Y")</f>
        <v>1674</v>
      </c>
      <c r="AL33" s="13">
        <f>_xll.BDH("AMZN US Equity","BS_ACCT_PAYABLE","FQ4 2007","FQ4 2007","Currency=USD","Period=FQ","BEST_FPERIOD_OVERRIDE=FQ","FILING_STATUS=OR","SCALING_FORMAT=MLN","Sort=A","Dates=H","DateFormat=P","Fill=—","Direction=H","UseDPDF=Y")</f>
        <v>2795</v>
      </c>
      <c r="AM33" s="13">
        <f>_xll.BDH("AMZN US Equity","BS_ACCT_PAYABLE","FQ1 2008","FQ1 2008","Currency=USD","Period=FQ","BEST_FPERIOD_OVERRIDE=FQ","FILING_STATUS=OR","SCALING_FORMAT=MLN","Sort=A","Dates=H","DateFormat=P","Fill=—","Direction=H","UseDPDF=Y")</f>
        <v>1864</v>
      </c>
      <c r="AN33" s="13">
        <f>_xll.BDH("AMZN US Equity","BS_ACCT_PAYABLE","FQ2 2008","FQ2 2008","Currency=USD","Period=FQ","BEST_FPERIOD_OVERRIDE=FQ","FILING_STATUS=OR","SCALING_FORMAT=MLN","Sort=A","Dates=H","DateFormat=P","Fill=—","Direction=H","UseDPDF=Y")</f>
        <v>1963</v>
      </c>
      <c r="AO33" s="13">
        <f>_xll.BDH("AMZN US Equity","BS_ACCT_PAYABLE","FQ3 2008","FQ3 2008","Currency=USD","Period=FQ","BEST_FPERIOD_OVERRIDE=FQ","FILING_STATUS=OR","SCALING_FORMAT=MLN","Sort=A","Dates=H","DateFormat=P","Fill=—","Direction=H","UseDPDF=Y")</f>
        <v>2242</v>
      </c>
      <c r="AP33" s="13">
        <f>_xll.BDH("AMZN US Equity","BS_ACCT_PAYABLE","FQ4 2008","FQ4 2008","Currency=USD","Period=FQ","BEST_FPERIOD_OVERRIDE=FQ","FILING_STATUS=OR","SCALING_FORMAT=MLN","Sort=A","Dates=H","DateFormat=P","Fill=—","Direction=H","UseDPDF=Y")</f>
        <v>3594</v>
      </c>
    </row>
    <row r="34" spans="1:42" x14ac:dyDescent="0.25">
      <c r="A34" s="10" t="s">
        <v>230</v>
      </c>
      <c r="B34" s="10" t="s">
        <v>231</v>
      </c>
      <c r="C34" s="13">
        <f>_xll.BDH("AMZN US Equity","BS_ST_BORROW","FQ4 1998","FQ4 1998","Currency=USD","Period=FQ","BEST_FPERIOD_OVERRIDE=FQ","FILING_STATUS=OR","SCALING_FORMAT=MLN","Sort=A","Dates=H","DateFormat=P","Fill=—","Direction=H","UseDPDF=Y")</f>
        <v>0.68400000000000005</v>
      </c>
      <c r="D34" s="13">
        <f>_xll.BDH("AMZN US Equity","BS_ST_BORROW","FQ1 1999","FQ1 1999","Currency=USD","Period=FQ","BEST_FPERIOD_OVERRIDE=FQ","FILING_STATUS=OR","SCALING_FORMAT=MLN","Sort=A","Dates=H","DateFormat=P","Fill=—","Direction=H","UseDPDF=Y")</f>
        <v>7.1859999999999999</v>
      </c>
      <c r="E34" s="13">
        <f>_xll.BDH("AMZN US Equity","BS_ST_BORROW","FQ2 1999","FQ2 1999","Currency=USD","Period=FQ","BEST_FPERIOD_OVERRIDE=FQ","FILING_STATUS=OR","SCALING_FORMAT=MLN","Sort=A","Dates=H","DateFormat=P","Fill=—","Direction=H","UseDPDF=Y")</f>
        <v>9.8729999999999993</v>
      </c>
      <c r="F34" s="13">
        <f>_xll.BDH("AMZN US Equity","BS_ST_BORROW","FQ3 1999","FQ3 1999","Currency=USD","Period=FQ","BEST_FPERIOD_OVERRIDE=FQ","FILING_STATUS=OR","SCALING_FORMAT=MLN","Sort=A","Dates=H","DateFormat=P","Fill=—","Direction=H","UseDPDF=Y")</f>
        <v>12.776</v>
      </c>
      <c r="G34" s="13">
        <f>_xll.BDH("AMZN US Equity","BS_ST_BORROW","FQ4 1999","FQ4 1999","Currency=USD","Period=FQ","BEST_FPERIOD_OVERRIDE=FQ","FILING_STATUS=OR","SCALING_FORMAT=MLN","Sort=A","Dates=H","DateFormat=P","Fill=—","Direction=H","UseDPDF=Y")</f>
        <v>14.321999999999999</v>
      </c>
      <c r="H34" s="13">
        <f>_xll.BDH("AMZN US Equity","BS_ST_BORROW","FQ1 2000","FQ1 2000","Currency=USD","Period=FQ","BEST_FPERIOD_OVERRIDE=FQ","FILING_STATUS=OR","SCALING_FORMAT=MLN","Sort=A","Dates=H","DateFormat=P","Fill=—","Direction=H","UseDPDF=Y")</f>
        <v>15.983000000000001</v>
      </c>
      <c r="I34" s="13">
        <f>_xll.BDH("AMZN US Equity","BS_ST_BORROW","FQ3 2000","FQ3 2000","Currency=USD","Period=FQ","BEST_FPERIOD_OVERRIDE=FQ","FILING_STATUS=OR","SCALING_FORMAT=MLN","Sort=A","Dates=H","DateFormat=P","Fill=—","Direction=H","UseDPDF=Y")</f>
        <v>17.213000000000001</v>
      </c>
      <c r="J34" s="13">
        <f>_xll.BDH("AMZN US Equity","BS_ST_BORROW","FQ4 2000","FQ4 2000","Currency=USD","Period=FQ","BEST_FPERIOD_OVERRIDE=FQ","FILING_STATUS=OR","SCALING_FORMAT=MLN","Sort=A","Dates=H","DateFormat=P","Fill=—","Direction=H","UseDPDF=Y")</f>
        <v>16.576999999999998</v>
      </c>
      <c r="K34" s="13">
        <f>_xll.BDH("AMZN US Equity","BS_ST_BORROW","FQ1 2001","FQ1 2001","Currency=USD","Period=FQ","BEST_FPERIOD_OVERRIDE=FQ","FILING_STATUS=OR","SCALING_FORMAT=MLN","Sort=A","Dates=H","DateFormat=P","Fill=—","Direction=H","UseDPDF=Y")</f>
        <v>19.305</v>
      </c>
      <c r="L34" s="13">
        <f>_xll.BDH("AMZN US Equity","BS_ST_BORROW","FQ2 2001","FQ2 2001","Currency=USD","Period=FQ","BEST_FPERIOD_OVERRIDE=FQ","FILING_STATUS=OR","SCALING_FORMAT=MLN","Sort=A","Dates=H","DateFormat=P","Fill=—","Direction=H","UseDPDF=Y")</f>
        <v>18.337</v>
      </c>
      <c r="M34" s="13">
        <f>_xll.BDH("AMZN US Equity","BS_ST_BORROW","FQ3 2001","FQ3 2001","Currency=USD","Period=FQ","BEST_FPERIOD_OVERRIDE=FQ","FILING_STATUS=OR","SCALING_FORMAT=MLN","Sort=A","Dates=H","DateFormat=P","Fill=—","Direction=H","UseDPDF=Y")</f>
        <v>16.053999999999998</v>
      </c>
      <c r="N34" s="13">
        <f>_xll.BDH("AMZN US Equity","BS_ST_BORROW","FQ4 2001","FQ4 2001","Currency=USD","Period=FQ","BEST_FPERIOD_OVERRIDE=FQ","FILING_STATUS=OR","SCALING_FORMAT=MLN","Sort=A","Dates=H","DateFormat=P","Fill=—","Direction=H","UseDPDF=Y")</f>
        <v>14.992000000000001</v>
      </c>
      <c r="O34" s="13">
        <f>_xll.BDH("AMZN US Equity","BS_ST_BORROW","FQ1 2002","FQ1 2002","Currency=USD","Period=FQ","BEST_FPERIOD_OVERRIDE=FQ","FILING_STATUS=OR","SCALING_FORMAT=MLN","Sort=A","Dates=H","DateFormat=P","Fill=—","Direction=H","UseDPDF=Y")</f>
        <v>13.958</v>
      </c>
      <c r="P34" s="13">
        <f>_xll.BDH("AMZN US Equity","BS_ST_BORROW","FQ2 2002","FQ2 2002","Currency=USD","Period=FQ","BEST_FPERIOD_OVERRIDE=FQ","FILING_STATUS=OR","SCALING_FORMAT=MLN","Sort=A","Dates=H","DateFormat=P","Fill=—","Direction=H","UseDPDF=Y")</f>
        <v>14.406000000000001</v>
      </c>
      <c r="Q34" s="13">
        <f>_xll.BDH("AMZN US Equity","BS_ST_BORROW","FQ3 2002","FQ3 2002","Currency=USD","Period=FQ","BEST_FPERIOD_OVERRIDE=FQ","FILING_STATUS=OR","SCALING_FORMAT=MLN","Sort=A","Dates=H","DateFormat=P","Fill=—","Direction=H","UseDPDF=Y")</f>
        <v>13.134</v>
      </c>
      <c r="R34" s="13">
        <f>_xll.BDH("AMZN US Equity","BS_ST_BORROW","FQ4 2002","FQ4 2002","Currency=USD","Period=FQ","BEST_FPERIOD_OVERRIDE=FQ","FILING_STATUS=OR","SCALING_FORMAT=MLN","Sort=A","Dates=H","DateFormat=P","Fill=—","Direction=H","UseDPDF=Y")</f>
        <v>13.318</v>
      </c>
      <c r="S34" s="13">
        <f>_xll.BDH("AMZN US Equity","BS_ST_BORROW","FQ1 2003","FQ1 2003","Currency=USD","Period=FQ","BEST_FPERIOD_OVERRIDE=FQ","FILING_STATUS=OR","SCALING_FORMAT=MLN","Sort=A","Dates=H","DateFormat=P","Fill=—","Direction=H","UseDPDF=Y")</f>
        <v>11.077999999999999</v>
      </c>
      <c r="T34" s="13">
        <f>_xll.BDH("AMZN US Equity","BS_ST_BORROW","FQ2 2003","FQ2 2003","Currency=USD","Period=FQ","BEST_FPERIOD_OVERRIDE=FQ","FILING_STATUS=OR","SCALING_FORMAT=MLN","Sort=A","Dates=H","DateFormat=P","Fill=—","Direction=H","UseDPDF=Y")</f>
        <v>8.1430000000000007</v>
      </c>
      <c r="U34" s="13">
        <f>_xll.BDH("AMZN US Equity","BS_ST_BORROW","FQ3 2003","FQ3 2003","Currency=USD","Period=FQ","BEST_FPERIOD_OVERRIDE=FQ","FILING_STATUS=OR","SCALING_FORMAT=MLN","Sort=A","Dates=H","DateFormat=P","Fill=—","Direction=H","UseDPDF=Y")</f>
        <v>6.0579999999999998</v>
      </c>
      <c r="V34" s="13">
        <f>_xll.BDH("AMZN US Equity","BS_ST_BORROW","FQ4 2003","FQ4 2003","Currency=USD","Period=FQ","BEST_FPERIOD_OVERRIDE=FQ","FILING_STATUS=OR","SCALING_FORMAT=MLN","Sort=A","Dates=H","DateFormat=P","Fill=—","Direction=H","UseDPDF=Y")</f>
        <v>4.2160000000000002</v>
      </c>
      <c r="W34" s="13">
        <f>_xll.BDH("AMZN US Equity","BS_ST_BORROW","FQ1 2004","FQ1 2004","Currency=USD","Period=FQ","BEST_FPERIOD_OVERRIDE=FQ","FILING_STATUS=OR","SCALING_FORMAT=MLN","Sort=A","Dates=H","DateFormat=P","Fill=—","Direction=H","UseDPDF=Y")</f>
        <v>2.4729999999999999</v>
      </c>
      <c r="X34" s="13">
        <f>_xll.BDH("AMZN US Equity","BS_ST_BORROW","FQ2 2004","FQ2 2004","Currency=USD","Period=FQ","BEST_FPERIOD_OVERRIDE=FQ","FILING_STATUS=OR","SCALING_FORMAT=MLN","Sort=A","Dates=H","DateFormat=P","Fill=—","Direction=H","UseDPDF=Y")</f>
        <v>2.4020000000000001</v>
      </c>
      <c r="Y34" s="13">
        <f>_xll.BDH("AMZN US Equity","BS_ST_BORROW","FQ3 2004","FQ3 2004","Currency=USD","Period=FQ","BEST_FPERIOD_OVERRIDE=FQ","FILING_STATUS=OR","SCALING_FORMAT=MLN","Sort=A","Dates=H","DateFormat=P","Fill=—","Direction=H","UseDPDF=Y")</f>
        <v>3.452</v>
      </c>
      <c r="Z34" s="13">
        <f>_xll.BDH("AMZN US Equity","BS_ST_BORROW","FQ4 2004","FQ4 2004","Currency=USD","Period=FQ","BEST_FPERIOD_OVERRIDE=FQ","FILING_STATUS=OR","SCALING_FORMAT=MLN","Sort=A","Dates=H","DateFormat=P","Fill=—","Direction=H","UseDPDF=Y")</f>
        <v>2.3810000000000002</v>
      </c>
      <c r="AA34" s="13">
        <f>_xll.BDH("AMZN US Equity","BS_ST_BORROW","FQ1 2005","FQ1 2005","Currency=USD","Period=FQ","BEST_FPERIOD_OVERRIDE=FQ","FILING_STATUS=OR","SCALING_FORMAT=MLN","Sort=A","Dates=H","DateFormat=P","Fill=—","Direction=H","UseDPDF=Y")</f>
        <v>2</v>
      </c>
      <c r="AB34" s="13">
        <f>_xll.BDH("AMZN US Equity","BS_ST_BORROW","FQ2 2005","FQ2 2005","Currency=USD","Period=FQ","BEST_FPERIOD_OVERRIDE=FQ","FILING_STATUS=OR","SCALING_FORMAT=MLN","Sort=A","Dates=H","DateFormat=P","Fill=—","Direction=H","UseDPDF=Y")</f>
        <v>8</v>
      </c>
      <c r="AC34" s="13">
        <f>_xll.BDH("AMZN US Equity","BS_ST_BORROW","FQ3 2005","FQ3 2005","Currency=USD","Period=FQ","BEST_FPERIOD_OVERRIDE=FQ","FILING_STATUS=OR","SCALING_FORMAT=MLN","Sort=A","Dates=H","DateFormat=P","Fill=—","Direction=H","UseDPDF=Y")</f>
        <v>17</v>
      </c>
      <c r="AD34" s="13">
        <f>_xll.BDH("AMZN US Equity","BS_ST_BORROW","FQ4 2005","FQ4 2005","Currency=USD","Period=FQ","BEST_FPERIOD_OVERRIDE=FQ","FILING_STATUS=OR","SCALING_FORMAT=MLN","Sort=A","Dates=H","DateFormat=P","Fill=—","Direction=H","UseDPDF=Y")</f>
        <v>5</v>
      </c>
      <c r="AE34" s="13">
        <f>_xll.BDH("AMZN US Equity","BS_ST_BORROW","FQ1 2006","FQ1 2006","Currency=USD","Period=FQ","BEST_FPERIOD_OVERRIDE=FQ","FILING_STATUS=OR","SCALING_FORMAT=MLN","Sort=A","Dates=H","DateFormat=P","Fill=—","Direction=H","UseDPDF=Y")</f>
        <v>2</v>
      </c>
      <c r="AF34" s="13">
        <f>_xll.BDH("AMZN US Equity","BS_ST_BORROW","FQ2 2006","FQ2 2006","Currency=USD","Period=FQ","BEST_FPERIOD_OVERRIDE=FQ","FILING_STATUS=OR","SCALING_FORMAT=MLN","Sort=A","Dates=H","DateFormat=P","Fill=—","Direction=H","UseDPDF=Y")</f>
        <v>43</v>
      </c>
      <c r="AG34" s="13">
        <f>_xll.BDH("AMZN US Equity","BS_ST_BORROW","FQ3 2006","FQ3 2006","Currency=USD","Period=FQ","BEST_FPERIOD_OVERRIDE=FQ","FILING_STATUS=OR","SCALING_FORMAT=MLN","Sort=A","Dates=H","DateFormat=P","Fill=—","Direction=H","UseDPDF=Y")</f>
        <v>70</v>
      </c>
      <c r="AH34" s="13">
        <f>_xll.BDH("AMZN US Equity","BS_ST_BORROW","FQ4 2006","FQ4 2006","Currency=USD","Period=FQ","BEST_FPERIOD_OVERRIDE=FQ","FILING_STATUS=OR","SCALING_FORMAT=MLN","Sort=A","Dates=H","DateFormat=P","Fill=—","Direction=H","UseDPDF=Y")</f>
        <v>51</v>
      </c>
      <c r="AI34" s="13">
        <f>_xll.BDH("AMZN US Equity","BS_ST_BORROW","FQ1 2007","FQ1 2007","Currency=USD","Period=FQ","BEST_FPERIOD_OVERRIDE=FQ","FILING_STATUS=OR","SCALING_FORMAT=MLN","Sort=A","Dates=H","DateFormat=P","Fill=—","Direction=H","UseDPDF=Y")</f>
        <v>0</v>
      </c>
      <c r="AJ34" s="13">
        <f>_xll.BDH("AMZN US Equity","BS_ST_BORROW","FQ2 2007","FQ2 2007","Currency=USD","Period=FQ","BEST_FPERIOD_OVERRIDE=FQ","FILING_STATUS=OR","SCALING_FORMAT=MLN","Sort=A","Dates=H","DateFormat=P","Fill=—","Direction=H","UseDPDF=Y")</f>
        <v>16</v>
      </c>
      <c r="AK34" s="13">
        <f>_xll.BDH("AMZN US Equity","BS_ST_BORROW","FQ3 2007","FQ3 2007","Currency=USD","Period=FQ","BEST_FPERIOD_OVERRIDE=FQ","FILING_STATUS=OR","SCALING_FORMAT=MLN","Sort=A","Dates=H","DateFormat=P","Fill=—","Direction=H","UseDPDF=Y")</f>
        <v>0</v>
      </c>
      <c r="AL34" s="13">
        <f>_xll.BDH("AMZN US Equity","BS_ST_BORROW","FQ4 2007","FQ4 2007","Currency=USD","Period=FQ","BEST_FPERIOD_OVERRIDE=FQ","FILING_STATUS=OR","SCALING_FORMAT=MLN","Sort=A","Dates=H","DateFormat=P","Fill=—","Direction=H","UseDPDF=Y")</f>
        <v>43</v>
      </c>
      <c r="AM34" s="13">
        <f>_xll.BDH("AMZN US Equity","BS_ST_BORROW","FQ1 2008","FQ1 2008","Currency=USD","Period=FQ","BEST_FPERIOD_OVERRIDE=FQ","FILING_STATUS=OR","SCALING_FORMAT=MLN","Sort=A","Dates=H","DateFormat=P","Fill=—","Direction=H","UseDPDF=Y")</f>
        <v>906</v>
      </c>
      <c r="AN34" s="13">
        <f>_xll.BDH("AMZN US Equity","BS_ST_BORROW","FQ2 2008","FQ2 2008","Currency=USD","Period=FQ","BEST_FPERIOD_OVERRIDE=FQ","FILING_STATUS=OR","SCALING_FORMAT=MLN","Sort=A","Dates=H","DateFormat=P","Fill=—","Direction=H","UseDPDF=Y")</f>
        <v>441</v>
      </c>
      <c r="AO34" s="13">
        <f>_xll.BDH("AMZN US Equity","BS_ST_BORROW","FQ3 2008","FQ3 2008","Currency=USD","Period=FQ","BEST_FPERIOD_OVERRIDE=FQ","FILING_STATUS=OR","SCALING_FORMAT=MLN","Sort=A","Dates=H","DateFormat=P","Fill=—","Direction=H","UseDPDF=Y")</f>
        <v>42</v>
      </c>
      <c r="AP34" s="13">
        <f>_xll.BDH("AMZN US Equity","BS_ST_BORROW","FQ4 2008","FQ4 2008","Currency=USD","Period=FQ","BEST_FPERIOD_OVERRIDE=FQ","FILING_STATUS=OR","SCALING_FORMAT=MLN","Sort=A","Dates=H","DateFormat=P","Fill=—","Direction=H","UseDPDF=Y")</f>
        <v>131</v>
      </c>
    </row>
    <row r="35" spans="1:42" x14ac:dyDescent="0.25">
      <c r="A35" s="10" t="s">
        <v>232</v>
      </c>
      <c r="B35" s="10" t="s">
        <v>233</v>
      </c>
      <c r="C35" s="13" t="str">
        <f>_xll.BDH("AMZN US Equity","SHORT_TERM_DEBT_DETAILED","FQ4 1998","FQ4 1998","Currency=USD","Period=FQ","BEST_FPERIOD_OVERRIDE=FQ","FILING_STATUS=OR","SCALING_FORMAT=MLN","Sort=A","Dates=H","DateFormat=P","Fill=—","Direction=H","UseDPDF=Y")</f>
        <v>—</v>
      </c>
      <c r="D35" s="13" t="str">
        <f>_xll.BDH("AMZN US Equity","SHORT_TERM_DEBT_DETAILED","FQ1 1999","FQ1 1999","Currency=USD","Period=FQ","BEST_FPERIOD_OVERRIDE=FQ","FILING_STATUS=OR","SCALING_FORMAT=MLN","Sort=A","Dates=H","DateFormat=P","Fill=—","Direction=H","UseDPDF=Y")</f>
        <v>—</v>
      </c>
      <c r="E35" s="13" t="str">
        <f>_xll.BDH("AMZN US Equity","SHORT_TERM_DEBT_DETAILED","FQ2 1999","FQ2 1999","Currency=USD","Period=FQ","BEST_FPERIOD_OVERRIDE=FQ","FILING_STATUS=OR","SCALING_FORMAT=MLN","Sort=A","Dates=H","DateFormat=P","Fill=—","Direction=H","UseDPDF=Y")</f>
        <v>—</v>
      </c>
      <c r="F35" s="13" t="str">
        <f>_xll.BDH("AMZN US Equity","SHORT_TERM_DEBT_DETAILED","FQ3 1999","FQ3 1999","Currency=USD","Period=FQ","BEST_FPERIOD_OVERRIDE=FQ","FILING_STATUS=OR","SCALING_FORMAT=MLN","Sort=A","Dates=H","DateFormat=P","Fill=—","Direction=H","UseDPDF=Y")</f>
        <v>—</v>
      </c>
      <c r="G35" s="13" t="str">
        <f>_xll.BDH("AMZN US Equity","SHORT_TERM_DEBT_DETAILED","FQ4 1999","FQ4 1999","Currency=USD","Period=FQ","BEST_FPERIOD_OVERRIDE=FQ","FILING_STATUS=OR","SCALING_FORMAT=MLN","Sort=A","Dates=H","DateFormat=P","Fill=—","Direction=H","UseDPDF=Y")</f>
        <v>—</v>
      </c>
      <c r="H35" s="13" t="str">
        <f>_xll.BDH("AMZN US Equity","SHORT_TERM_DEBT_DETAILED","FQ1 2000","FQ1 2000","Currency=USD","Period=FQ","BEST_FPERIOD_OVERRIDE=FQ","FILING_STATUS=OR","SCALING_FORMAT=MLN","Sort=A","Dates=H","DateFormat=P","Fill=—","Direction=H","UseDPDF=Y")</f>
        <v>—</v>
      </c>
      <c r="I35" s="13" t="str">
        <f>_xll.BDH("AMZN US Equity","SHORT_TERM_DEBT_DETAILED","FQ3 2000","FQ3 2000","Currency=USD","Period=FQ","BEST_FPERIOD_OVERRIDE=FQ","FILING_STATUS=OR","SCALING_FORMAT=MLN","Sort=A","Dates=H","DateFormat=P","Fill=—","Direction=H","UseDPDF=Y")</f>
        <v>—</v>
      </c>
      <c r="J35" s="13" t="str">
        <f>_xll.BDH("AMZN US Equity","SHORT_TERM_DEBT_DETAILED","FQ4 2000","FQ4 2000","Currency=USD","Period=FQ","BEST_FPERIOD_OVERRIDE=FQ","FILING_STATUS=OR","SCALING_FORMAT=MLN","Sort=A","Dates=H","DateFormat=P","Fill=—","Direction=H","UseDPDF=Y")</f>
        <v>—</v>
      </c>
      <c r="K35" s="13" t="str">
        <f>_xll.BDH("AMZN US Equity","SHORT_TERM_DEBT_DETAILED","FQ1 2001","FQ1 2001","Currency=USD","Period=FQ","BEST_FPERIOD_OVERRIDE=FQ","FILING_STATUS=OR","SCALING_FORMAT=MLN","Sort=A","Dates=H","DateFormat=P","Fill=—","Direction=H","UseDPDF=Y")</f>
        <v>—</v>
      </c>
      <c r="L35" s="13" t="str">
        <f>_xll.BDH("AMZN US Equity","SHORT_TERM_DEBT_DETAILED","FQ2 2001","FQ2 2001","Currency=USD","Period=FQ","BEST_FPERIOD_OVERRIDE=FQ","FILING_STATUS=OR","SCALING_FORMAT=MLN","Sort=A","Dates=H","DateFormat=P","Fill=—","Direction=H","UseDPDF=Y")</f>
        <v>—</v>
      </c>
      <c r="M35" s="13" t="str">
        <f>_xll.BDH("AMZN US Equity","SHORT_TERM_DEBT_DETAILED","FQ3 2001","FQ3 2001","Currency=USD","Period=FQ","BEST_FPERIOD_OVERRIDE=FQ","FILING_STATUS=OR","SCALING_FORMAT=MLN","Sort=A","Dates=H","DateFormat=P","Fill=—","Direction=H","UseDPDF=Y")</f>
        <v>—</v>
      </c>
      <c r="N35" s="13" t="str">
        <f>_xll.BDH("AMZN US Equity","SHORT_TERM_DEBT_DETAILED","FQ4 2001","FQ4 2001","Currency=USD","Period=FQ","BEST_FPERIOD_OVERRIDE=FQ","FILING_STATUS=OR","SCALING_FORMAT=MLN","Sort=A","Dates=H","DateFormat=P","Fill=—","Direction=H","UseDPDF=Y")</f>
        <v>—</v>
      </c>
      <c r="O35" s="13" t="str">
        <f>_xll.BDH("AMZN US Equity","SHORT_TERM_DEBT_DETAILED","FQ1 2002","FQ1 2002","Currency=USD","Period=FQ","BEST_FPERIOD_OVERRIDE=FQ","FILING_STATUS=OR","SCALING_FORMAT=MLN","Sort=A","Dates=H","DateFormat=P","Fill=—","Direction=H","UseDPDF=Y")</f>
        <v>—</v>
      </c>
      <c r="P35" s="13" t="str">
        <f>_xll.BDH("AMZN US Equity","SHORT_TERM_DEBT_DETAILED","FQ2 2002","FQ2 2002","Currency=USD","Period=FQ","BEST_FPERIOD_OVERRIDE=FQ","FILING_STATUS=OR","SCALING_FORMAT=MLN","Sort=A","Dates=H","DateFormat=P","Fill=—","Direction=H","UseDPDF=Y")</f>
        <v>—</v>
      </c>
      <c r="Q35" s="13" t="str">
        <f>_xll.BDH("AMZN US Equity","SHORT_TERM_DEBT_DETAILED","FQ3 2002","FQ3 2002","Currency=USD","Period=FQ","BEST_FPERIOD_OVERRIDE=FQ","FILING_STATUS=OR","SCALING_FORMAT=MLN","Sort=A","Dates=H","DateFormat=P","Fill=—","Direction=H","UseDPDF=Y")</f>
        <v>—</v>
      </c>
      <c r="R35" s="13" t="str">
        <f>_xll.BDH("AMZN US Equity","SHORT_TERM_DEBT_DETAILED","FQ4 2002","FQ4 2002","Currency=USD","Period=FQ","BEST_FPERIOD_OVERRIDE=FQ","FILING_STATUS=OR","SCALING_FORMAT=MLN","Sort=A","Dates=H","DateFormat=P","Fill=—","Direction=H","UseDPDF=Y")</f>
        <v>—</v>
      </c>
      <c r="S35" s="13" t="str">
        <f>_xll.BDH("AMZN US Equity","SHORT_TERM_DEBT_DETAILED","FQ1 2003","FQ1 2003","Currency=USD","Period=FQ","BEST_FPERIOD_OVERRIDE=FQ","FILING_STATUS=OR","SCALING_FORMAT=MLN","Sort=A","Dates=H","DateFormat=P","Fill=—","Direction=H","UseDPDF=Y")</f>
        <v>—</v>
      </c>
      <c r="T35" s="13" t="str">
        <f>_xll.BDH("AMZN US Equity","SHORT_TERM_DEBT_DETAILED","FQ2 2003","FQ2 2003","Currency=USD","Period=FQ","BEST_FPERIOD_OVERRIDE=FQ","FILING_STATUS=OR","SCALING_FORMAT=MLN","Sort=A","Dates=H","DateFormat=P","Fill=—","Direction=H","UseDPDF=Y")</f>
        <v>—</v>
      </c>
      <c r="U35" s="13" t="str">
        <f>_xll.BDH("AMZN US Equity","SHORT_TERM_DEBT_DETAILED","FQ3 2003","FQ3 2003","Currency=USD","Period=FQ","BEST_FPERIOD_OVERRIDE=FQ","FILING_STATUS=OR","SCALING_FORMAT=MLN","Sort=A","Dates=H","DateFormat=P","Fill=—","Direction=H","UseDPDF=Y")</f>
        <v>—</v>
      </c>
      <c r="V35" s="13" t="str">
        <f>_xll.BDH("AMZN US Equity","SHORT_TERM_DEBT_DETAILED","FQ4 2003","FQ4 2003","Currency=USD","Period=FQ","BEST_FPERIOD_OVERRIDE=FQ","FILING_STATUS=OR","SCALING_FORMAT=MLN","Sort=A","Dates=H","DateFormat=P","Fill=—","Direction=H","UseDPDF=Y")</f>
        <v>—</v>
      </c>
      <c r="W35" s="13" t="str">
        <f>_xll.BDH("AMZN US Equity","SHORT_TERM_DEBT_DETAILED","FQ1 2004","FQ1 2004","Currency=USD","Period=FQ","BEST_FPERIOD_OVERRIDE=FQ","FILING_STATUS=OR","SCALING_FORMAT=MLN","Sort=A","Dates=H","DateFormat=P","Fill=—","Direction=H","UseDPDF=Y")</f>
        <v>—</v>
      </c>
      <c r="X35" s="13" t="str">
        <f>_xll.BDH("AMZN US Equity","SHORT_TERM_DEBT_DETAILED","FQ2 2004","FQ2 2004","Currency=USD","Period=FQ","BEST_FPERIOD_OVERRIDE=FQ","FILING_STATUS=OR","SCALING_FORMAT=MLN","Sort=A","Dates=H","DateFormat=P","Fill=—","Direction=H","UseDPDF=Y")</f>
        <v>—</v>
      </c>
      <c r="Y35" s="13" t="str">
        <f>_xll.BDH("AMZN US Equity","SHORT_TERM_DEBT_DETAILED","FQ3 2004","FQ3 2004","Currency=USD","Period=FQ","BEST_FPERIOD_OVERRIDE=FQ","FILING_STATUS=OR","SCALING_FORMAT=MLN","Sort=A","Dates=H","DateFormat=P","Fill=—","Direction=H","UseDPDF=Y")</f>
        <v>—</v>
      </c>
      <c r="Z35" s="13">
        <f>_xll.BDH("AMZN US Equity","SHORT_TERM_DEBT_DETAILED","FQ4 2004","FQ4 2004","Currency=USD","Period=FQ","BEST_FPERIOD_OVERRIDE=FQ","FILING_STATUS=OR","SCALING_FORMAT=MLN","Sort=A","Dates=H","DateFormat=P","Fill=—","Direction=H","UseDPDF=Y")</f>
        <v>1.1519999999999999</v>
      </c>
      <c r="AA35" s="13">
        <f>_xll.BDH("AMZN US Equity","SHORT_TERM_DEBT_DETAILED","FQ1 2005","FQ1 2005","Currency=USD","Period=FQ","BEST_FPERIOD_OVERRIDE=FQ","FILING_STATUS=OR","SCALING_FORMAT=MLN","Sort=A","Dates=H","DateFormat=P","Fill=—","Direction=H","UseDPDF=Y")</f>
        <v>0.9</v>
      </c>
      <c r="AB35" s="13">
        <f>_xll.BDH("AMZN US Equity","SHORT_TERM_DEBT_DETAILED","FQ2 2005","FQ2 2005","Currency=USD","Period=FQ","BEST_FPERIOD_OVERRIDE=FQ","FILING_STATUS=OR","SCALING_FORMAT=MLN","Sort=A","Dates=H","DateFormat=P","Fill=—","Direction=H","UseDPDF=Y")</f>
        <v>7.4</v>
      </c>
      <c r="AC35" s="13">
        <f>_xll.BDH("AMZN US Equity","SHORT_TERM_DEBT_DETAILED","FQ3 2005","FQ3 2005","Currency=USD","Period=FQ","BEST_FPERIOD_OVERRIDE=FQ","FILING_STATUS=OR","SCALING_FORMAT=MLN","Sort=A","Dates=H","DateFormat=P","Fill=—","Direction=H","UseDPDF=Y")</f>
        <v>16.7</v>
      </c>
      <c r="AD35" s="13">
        <f>_xll.BDH("AMZN US Equity","SHORT_TERM_DEBT_DETAILED","FQ4 2005","FQ4 2005","Currency=USD","Period=FQ","BEST_FPERIOD_OVERRIDE=FQ","FILING_STATUS=OR","SCALING_FORMAT=MLN","Sort=A","Dates=H","DateFormat=P","Fill=—","Direction=H","UseDPDF=Y")</f>
        <v>3</v>
      </c>
      <c r="AE35" s="13" t="str">
        <f>_xll.BDH("AMZN US Equity","SHORT_TERM_DEBT_DETAILED","FQ1 2006","FQ1 2006","Currency=USD","Period=FQ","BEST_FPERIOD_OVERRIDE=FQ","FILING_STATUS=OR","SCALING_FORMAT=MLN","Sort=A","Dates=H","DateFormat=P","Fill=—","Direction=H","UseDPDF=Y")</f>
        <v>—</v>
      </c>
      <c r="AF35" s="13" t="str">
        <f>_xll.BDH("AMZN US Equity","SHORT_TERM_DEBT_DETAILED","FQ2 2006","FQ2 2006","Currency=USD","Period=FQ","BEST_FPERIOD_OVERRIDE=FQ","FILING_STATUS=OR","SCALING_FORMAT=MLN","Sort=A","Dates=H","DateFormat=P","Fill=—","Direction=H","UseDPDF=Y")</f>
        <v>—</v>
      </c>
      <c r="AG35" s="13" t="str">
        <f>_xll.BDH("AMZN US Equity","SHORT_TERM_DEBT_DETAILED","FQ3 2006","FQ3 2006","Currency=USD","Period=FQ","BEST_FPERIOD_OVERRIDE=FQ","FILING_STATUS=OR","SCALING_FORMAT=MLN","Sort=A","Dates=H","DateFormat=P","Fill=—","Direction=H","UseDPDF=Y")</f>
        <v>—</v>
      </c>
      <c r="AH35" s="13">
        <f>_xll.BDH("AMZN US Equity","SHORT_TERM_DEBT_DETAILED","FQ4 2006","FQ4 2006","Currency=USD","Period=FQ","BEST_FPERIOD_OVERRIDE=FQ","FILING_STATUS=OR","SCALING_FORMAT=MLN","Sort=A","Dates=H","DateFormat=P","Fill=—","Direction=H","UseDPDF=Y")</f>
        <v>16</v>
      </c>
      <c r="AI35" s="13" t="str">
        <f>_xll.BDH("AMZN US Equity","SHORT_TERM_DEBT_DETAILED","FQ1 2007","FQ1 2007","Currency=USD","Period=FQ","BEST_FPERIOD_OVERRIDE=FQ","FILING_STATUS=OR","SCALING_FORMAT=MLN","Sort=A","Dates=H","DateFormat=P","Fill=—","Direction=H","UseDPDF=Y")</f>
        <v>—</v>
      </c>
      <c r="AJ35" s="13" t="str">
        <f>_xll.BDH("AMZN US Equity","SHORT_TERM_DEBT_DETAILED","FQ2 2007","FQ2 2007","Currency=USD","Period=FQ","BEST_FPERIOD_OVERRIDE=FQ","FILING_STATUS=OR","SCALING_FORMAT=MLN","Sort=A","Dates=H","DateFormat=P","Fill=—","Direction=H","UseDPDF=Y")</f>
        <v>—</v>
      </c>
      <c r="AK35" s="13" t="str">
        <f>_xll.BDH("AMZN US Equity","SHORT_TERM_DEBT_DETAILED","FQ3 2007","FQ3 2007","Currency=USD","Period=FQ","BEST_FPERIOD_OVERRIDE=FQ","FILING_STATUS=OR","SCALING_FORMAT=MLN","Sort=A","Dates=H","DateFormat=P","Fill=—","Direction=H","UseDPDF=Y")</f>
        <v>—</v>
      </c>
      <c r="AL35" s="13">
        <f>_xll.BDH("AMZN US Equity","SHORT_TERM_DEBT_DETAILED","FQ4 2007","FQ4 2007","Currency=USD","Period=FQ","BEST_FPERIOD_OVERRIDE=FQ","FILING_STATUS=OR","SCALING_FORMAT=MLN","Sort=A","Dates=H","DateFormat=P","Fill=—","Direction=H","UseDPDF=Y")</f>
        <v>17</v>
      </c>
      <c r="AM35" s="13" t="str">
        <f>_xll.BDH("AMZN US Equity","SHORT_TERM_DEBT_DETAILED","FQ1 2008","FQ1 2008","Currency=USD","Period=FQ","BEST_FPERIOD_OVERRIDE=FQ","FILING_STATUS=OR","SCALING_FORMAT=MLN","Sort=A","Dates=H","DateFormat=P","Fill=—","Direction=H","UseDPDF=Y")</f>
        <v>—</v>
      </c>
      <c r="AN35" s="13" t="str">
        <f>_xll.BDH("AMZN US Equity","SHORT_TERM_DEBT_DETAILED","FQ2 2008","FQ2 2008","Currency=USD","Period=FQ","BEST_FPERIOD_OVERRIDE=FQ","FILING_STATUS=OR","SCALING_FORMAT=MLN","Sort=A","Dates=H","DateFormat=P","Fill=—","Direction=H","UseDPDF=Y")</f>
        <v>—</v>
      </c>
      <c r="AO35" s="13" t="str">
        <f>_xll.BDH("AMZN US Equity","SHORT_TERM_DEBT_DETAILED","FQ3 2008","FQ3 2008","Currency=USD","Period=FQ","BEST_FPERIOD_OVERRIDE=FQ","FILING_STATUS=OR","SCALING_FORMAT=MLN","Sort=A","Dates=H","DateFormat=P","Fill=—","Direction=H","UseDPDF=Y")</f>
        <v>—</v>
      </c>
      <c r="AP35" s="13">
        <f>_xll.BDH("AMZN US Equity","SHORT_TERM_DEBT_DETAILED","FQ4 2008","FQ4 2008","Currency=USD","Period=FQ","BEST_FPERIOD_OVERRIDE=FQ","FILING_STATUS=OR","SCALING_FORMAT=MLN","Sort=A","Dates=H","DateFormat=P","Fill=—","Direction=H","UseDPDF=Y")</f>
        <v>59</v>
      </c>
    </row>
    <row r="36" spans="1:42" x14ac:dyDescent="0.25">
      <c r="A36" s="10" t="s">
        <v>234</v>
      </c>
      <c r="B36" s="10" t="s">
        <v>235</v>
      </c>
      <c r="C36" s="13" t="str">
        <f>_xll.BDH("AMZN US Equity","ST_CAPITAL_LEASE_OBLIGATIONS","FQ4 1998","FQ4 1998","Currency=USD","Period=FQ","BEST_FPERIOD_OVERRIDE=FQ","FILING_STATUS=OR","SCALING_FORMAT=MLN","Sort=A","Dates=H","DateFormat=P","Fill=—","Direction=H","UseDPDF=Y")</f>
        <v>—</v>
      </c>
      <c r="D36" s="13" t="str">
        <f>_xll.BDH("AMZN US Equity","ST_CAPITAL_LEASE_OBLIGATIONS","FQ1 1999","FQ1 1999","Currency=USD","Period=FQ","BEST_FPERIOD_OVERRIDE=FQ","FILING_STATUS=OR","SCALING_FORMAT=MLN","Sort=A","Dates=H","DateFormat=P","Fill=—","Direction=H","UseDPDF=Y")</f>
        <v>—</v>
      </c>
      <c r="E36" s="13" t="str">
        <f>_xll.BDH("AMZN US Equity","ST_CAPITAL_LEASE_OBLIGATIONS","FQ2 1999","FQ2 1999","Currency=USD","Period=FQ","BEST_FPERIOD_OVERRIDE=FQ","FILING_STATUS=OR","SCALING_FORMAT=MLN","Sort=A","Dates=H","DateFormat=P","Fill=—","Direction=H","UseDPDF=Y")</f>
        <v>—</v>
      </c>
      <c r="F36" s="13" t="str">
        <f>_xll.BDH("AMZN US Equity","ST_CAPITAL_LEASE_OBLIGATIONS","FQ3 1999","FQ3 1999","Currency=USD","Period=FQ","BEST_FPERIOD_OVERRIDE=FQ","FILING_STATUS=OR","SCALING_FORMAT=MLN","Sort=A","Dates=H","DateFormat=P","Fill=—","Direction=H","UseDPDF=Y")</f>
        <v>—</v>
      </c>
      <c r="G36" s="13" t="str">
        <f>_xll.BDH("AMZN US Equity","ST_CAPITAL_LEASE_OBLIGATIONS","FQ4 1999","FQ4 1999","Currency=USD","Period=FQ","BEST_FPERIOD_OVERRIDE=FQ","FILING_STATUS=OR","SCALING_FORMAT=MLN","Sort=A","Dates=H","DateFormat=P","Fill=—","Direction=H","UseDPDF=Y")</f>
        <v>—</v>
      </c>
      <c r="H36" s="13" t="str">
        <f>_xll.BDH("AMZN US Equity","ST_CAPITAL_LEASE_OBLIGATIONS","FQ1 2000","FQ1 2000","Currency=USD","Period=FQ","BEST_FPERIOD_OVERRIDE=FQ","FILING_STATUS=OR","SCALING_FORMAT=MLN","Sort=A","Dates=H","DateFormat=P","Fill=—","Direction=H","UseDPDF=Y")</f>
        <v>—</v>
      </c>
      <c r="I36" s="13" t="str">
        <f>_xll.BDH("AMZN US Equity","ST_CAPITAL_LEASE_OBLIGATIONS","FQ3 2000","FQ3 2000","Currency=USD","Period=FQ","BEST_FPERIOD_OVERRIDE=FQ","FILING_STATUS=OR","SCALING_FORMAT=MLN","Sort=A","Dates=H","DateFormat=P","Fill=—","Direction=H","UseDPDF=Y")</f>
        <v>—</v>
      </c>
      <c r="J36" s="13" t="str">
        <f>_xll.BDH("AMZN US Equity","ST_CAPITAL_LEASE_OBLIGATIONS","FQ4 2000","FQ4 2000","Currency=USD","Period=FQ","BEST_FPERIOD_OVERRIDE=FQ","FILING_STATUS=OR","SCALING_FORMAT=MLN","Sort=A","Dates=H","DateFormat=P","Fill=—","Direction=H","UseDPDF=Y")</f>
        <v>—</v>
      </c>
      <c r="K36" s="13" t="str">
        <f>_xll.BDH("AMZN US Equity","ST_CAPITAL_LEASE_OBLIGATIONS","FQ1 2001","FQ1 2001","Currency=USD","Period=FQ","BEST_FPERIOD_OVERRIDE=FQ","FILING_STATUS=OR","SCALING_FORMAT=MLN","Sort=A","Dates=H","DateFormat=P","Fill=—","Direction=H","UseDPDF=Y")</f>
        <v>—</v>
      </c>
      <c r="L36" s="13" t="str">
        <f>_xll.BDH("AMZN US Equity","ST_CAPITAL_LEASE_OBLIGATIONS","FQ2 2001","FQ2 2001","Currency=USD","Period=FQ","BEST_FPERIOD_OVERRIDE=FQ","FILING_STATUS=OR","SCALING_FORMAT=MLN","Sort=A","Dates=H","DateFormat=P","Fill=—","Direction=H","UseDPDF=Y")</f>
        <v>—</v>
      </c>
      <c r="M36" s="13" t="str">
        <f>_xll.BDH("AMZN US Equity","ST_CAPITAL_LEASE_OBLIGATIONS","FQ3 2001","FQ3 2001","Currency=USD","Period=FQ","BEST_FPERIOD_OVERRIDE=FQ","FILING_STATUS=OR","SCALING_FORMAT=MLN","Sort=A","Dates=H","DateFormat=P","Fill=—","Direction=H","UseDPDF=Y")</f>
        <v>—</v>
      </c>
      <c r="N36" s="13" t="str">
        <f>_xll.BDH("AMZN US Equity","ST_CAPITAL_LEASE_OBLIGATIONS","FQ4 2001","FQ4 2001","Currency=USD","Period=FQ","BEST_FPERIOD_OVERRIDE=FQ","FILING_STATUS=OR","SCALING_FORMAT=MLN","Sort=A","Dates=H","DateFormat=P","Fill=—","Direction=H","UseDPDF=Y")</f>
        <v>—</v>
      </c>
      <c r="O36" s="13" t="str">
        <f>_xll.BDH("AMZN US Equity","ST_CAPITAL_LEASE_OBLIGATIONS","FQ1 2002","FQ1 2002","Currency=USD","Period=FQ","BEST_FPERIOD_OVERRIDE=FQ","FILING_STATUS=OR","SCALING_FORMAT=MLN","Sort=A","Dates=H","DateFormat=P","Fill=—","Direction=H","UseDPDF=Y")</f>
        <v>—</v>
      </c>
      <c r="P36" s="13" t="str">
        <f>_xll.BDH("AMZN US Equity","ST_CAPITAL_LEASE_OBLIGATIONS","FQ2 2002","FQ2 2002","Currency=USD","Period=FQ","BEST_FPERIOD_OVERRIDE=FQ","FILING_STATUS=OR","SCALING_FORMAT=MLN","Sort=A","Dates=H","DateFormat=P","Fill=—","Direction=H","UseDPDF=Y")</f>
        <v>—</v>
      </c>
      <c r="Q36" s="13" t="str">
        <f>_xll.BDH("AMZN US Equity","ST_CAPITAL_LEASE_OBLIGATIONS","FQ3 2002","FQ3 2002","Currency=USD","Period=FQ","BEST_FPERIOD_OVERRIDE=FQ","FILING_STATUS=OR","SCALING_FORMAT=MLN","Sort=A","Dates=H","DateFormat=P","Fill=—","Direction=H","UseDPDF=Y")</f>
        <v>—</v>
      </c>
      <c r="R36" s="13" t="str">
        <f>_xll.BDH("AMZN US Equity","ST_CAPITAL_LEASE_OBLIGATIONS","FQ4 2002","FQ4 2002","Currency=USD","Period=FQ","BEST_FPERIOD_OVERRIDE=FQ","FILING_STATUS=OR","SCALING_FORMAT=MLN","Sort=A","Dates=H","DateFormat=P","Fill=—","Direction=H","UseDPDF=Y")</f>
        <v>—</v>
      </c>
      <c r="S36" s="13" t="str">
        <f>_xll.BDH("AMZN US Equity","ST_CAPITAL_LEASE_OBLIGATIONS","FQ1 2003","FQ1 2003","Currency=USD","Period=FQ","BEST_FPERIOD_OVERRIDE=FQ","FILING_STATUS=OR","SCALING_FORMAT=MLN","Sort=A","Dates=H","DateFormat=P","Fill=—","Direction=H","UseDPDF=Y")</f>
        <v>—</v>
      </c>
      <c r="T36" s="13" t="str">
        <f>_xll.BDH("AMZN US Equity","ST_CAPITAL_LEASE_OBLIGATIONS","FQ2 2003","FQ2 2003","Currency=USD","Period=FQ","BEST_FPERIOD_OVERRIDE=FQ","FILING_STATUS=OR","SCALING_FORMAT=MLN","Sort=A","Dates=H","DateFormat=P","Fill=—","Direction=H","UseDPDF=Y")</f>
        <v>—</v>
      </c>
      <c r="U36" s="13" t="str">
        <f>_xll.BDH("AMZN US Equity","ST_CAPITAL_LEASE_OBLIGATIONS","FQ3 2003","FQ3 2003","Currency=USD","Period=FQ","BEST_FPERIOD_OVERRIDE=FQ","FILING_STATUS=OR","SCALING_FORMAT=MLN","Sort=A","Dates=H","DateFormat=P","Fill=—","Direction=H","UseDPDF=Y")</f>
        <v>—</v>
      </c>
      <c r="V36" s="13" t="str">
        <f>_xll.BDH("AMZN US Equity","ST_CAPITAL_LEASE_OBLIGATIONS","FQ4 2003","FQ4 2003","Currency=USD","Period=FQ","BEST_FPERIOD_OVERRIDE=FQ","FILING_STATUS=OR","SCALING_FORMAT=MLN","Sort=A","Dates=H","DateFormat=P","Fill=—","Direction=H","UseDPDF=Y")</f>
        <v>—</v>
      </c>
      <c r="W36" s="13" t="str">
        <f>_xll.BDH("AMZN US Equity","ST_CAPITAL_LEASE_OBLIGATIONS","FQ1 2004","FQ1 2004","Currency=USD","Period=FQ","BEST_FPERIOD_OVERRIDE=FQ","FILING_STATUS=OR","SCALING_FORMAT=MLN","Sort=A","Dates=H","DateFormat=P","Fill=—","Direction=H","UseDPDF=Y")</f>
        <v>—</v>
      </c>
      <c r="X36" s="13" t="str">
        <f>_xll.BDH("AMZN US Equity","ST_CAPITAL_LEASE_OBLIGATIONS","FQ2 2004","FQ2 2004","Currency=USD","Period=FQ","BEST_FPERIOD_OVERRIDE=FQ","FILING_STATUS=OR","SCALING_FORMAT=MLN","Sort=A","Dates=H","DateFormat=P","Fill=—","Direction=H","UseDPDF=Y")</f>
        <v>—</v>
      </c>
      <c r="Y36" s="13" t="str">
        <f>_xll.BDH("AMZN US Equity","ST_CAPITAL_LEASE_OBLIGATIONS","FQ3 2004","FQ3 2004","Currency=USD","Period=FQ","BEST_FPERIOD_OVERRIDE=FQ","FILING_STATUS=OR","SCALING_FORMAT=MLN","Sort=A","Dates=H","DateFormat=P","Fill=—","Direction=H","UseDPDF=Y")</f>
        <v>—</v>
      </c>
      <c r="Z36" s="13">
        <f>_xll.BDH("AMZN US Equity","ST_CAPITAL_LEASE_OBLIGATIONS","FQ4 2004","FQ4 2004","Currency=USD","Period=FQ","BEST_FPERIOD_OVERRIDE=FQ","FILING_STATUS=OR","SCALING_FORMAT=MLN","Sort=A","Dates=H","DateFormat=P","Fill=—","Direction=H","UseDPDF=Y")</f>
        <v>1.2290000000000001</v>
      </c>
      <c r="AA36" s="13">
        <f>_xll.BDH("AMZN US Equity","ST_CAPITAL_LEASE_OBLIGATIONS","FQ1 2005","FQ1 2005","Currency=USD","Period=FQ","BEST_FPERIOD_OVERRIDE=FQ","FILING_STATUS=OR","SCALING_FORMAT=MLN","Sort=A","Dates=H","DateFormat=P","Fill=—","Direction=H","UseDPDF=Y")</f>
        <v>1.1000000000000001</v>
      </c>
      <c r="AB36" s="13">
        <f>_xll.BDH("AMZN US Equity","ST_CAPITAL_LEASE_OBLIGATIONS","FQ2 2005","FQ2 2005","Currency=USD","Period=FQ","BEST_FPERIOD_OVERRIDE=FQ","FILING_STATUS=OR","SCALING_FORMAT=MLN","Sort=A","Dates=H","DateFormat=P","Fill=—","Direction=H","UseDPDF=Y")</f>
        <v>0.6</v>
      </c>
      <c r="AC36" s="13">
        <f>_xll.BDH("AMZN US Equity","ST_CAPITAL_LEASE_OBLIGATIONS","FQ3 2005","FQ3 2005","Currency=USD","Period=FQ","BEST_FPERIOD_OVERRIDE=FQ","FILING_STATUS=OR","SCALING_FORMAT=MLN","Sort=A","Dates=H","DateFormat=P","Fill=—","Direction=H","UseDPDF=Y")</f>
        <v>0.3</v>
      </c>
      <c r="AD36" s="13">
        <f>_xll.BDH("AMZN US Equity","ST_CAPITAL_LEASE_OBLIGATIONS","FQ4 2005","FQ4 2005","Currency=USD","Period=FQ","BEST_FPERIOD_OVERRIDE=FQ","FILING_STATUS=OR","SCALING_FORMAT=MLN","Sort=A","Dates=H","DateFormat=P","Fill=—","Direction=H","UseDPDF=Y")</f>
        <v>2</v>
      </c>
      <c r="AE36" s="13" t="str">
        <f>_xll.BDH("AMZN US Equity","ST_CAPITAL_LEASE_OBLIGATIONS","FQ1 2006","FQ1 2006","Currency=USD","Period=FQ","BEST_FPERIOD_OVERRIDE=FQ","FILING_STATUS=OR","SCALING_FORMAT=MLN","Sort=A","Dates=H","DateFormat=P","Fill=—","Direction=H","UseDPDF=Y")</f>
        <v>—</v>
      </c>
      <c r="AF36" s="13" t="str">
        <f>_xll.BDH("AMZN US Equity","ST_CAPITAL_LEASE_OBLIGATIONS","FQ2 2006","FQ2 2006","Currency=USD","Period=FQ","BEST_FPERIOD_OVERRIDE=FQ","FILING_STATUS=OR","SCALING_FORMAT=MLN","Sort=A","Dates=H","DateFormat=P","Fill=—","Direction=H","UseDPDF=Y")</f>
        <v>—</v>
      </c>
      <c r="AG36" s="13" t="str">
        <f>_xll.BDH("AMZN US Equity","ST_CAPITAL_LEASE_OBLIGATIONS","FQ3 2006","FQ3 2006","Currency=USD","Period=FQ","BEST_FPERIOD_OVERRIDE=FQ","FILING_STATUS=OR","SCALING_FORMAT=MLN","Sort=A","Dates=H","DateFormat=P","Fill=—","Direction=H","UseDPDF=Y")</f>
        <v>—</v>
      </c>
      <c r="AH36" s="13">
        <f>_xll.BDH("AMZN US Equity","ST_CAPITAL_LEASE_OBLIGATIONS","FQ4 2006","FQ4 2006","Currency=USD","Period=FQ","BEST_FPERIOD_OVERRIDE=FQ","FILING_STATUS=OR","SCALING_FORMAT=MLN","Sort=A","Dates=H","DateFormat=P","Fill=—","Direction=H","UseDPDF=Y")</f>
        <v>35</v>
      </c>
      <c r="AI36" s="13" t="str">
        <f>_xll.BDH("AMZN US Equity","ST_CAPITAL_LEASE_OBLIGATIONS","FQ1 2007","FQ1 2007","Currency=USD","Period=FQ","BEST_FPERIOD_OVERRIDE=FQ","FILING_STATUS=OR","SCALING_FORMAT=MLN","Sort=A","Dates=H","DateFormat=P","Fill=—","Direction=H","UseDPDF=Y")</f>
        <v>—</v>
      </c>
      <c r="AJ36" s="13" t="str">
        <f>_xll.BDH("AMZN US Equity","ST_CAPITAL_LEASE_OBLIGATIONS","FQ2 2007","FQ2 2007","Currency=USD","Period=FQ","BEST_FPERIOD_OVERRIDE=FQ","FILING_STATUS=OR","SCALING_FORMAT=MLN","Sort=A","Dates=H","DateFormat=P","Fill=—","Direction=H","UseDPDF=Y")</f>
        <v>—</v>
      </c>
      <c r="AK36" s="13" t="str">
        <f>_xll.BDH("AMZN US Equity","ST_CAPITAL_LEASE_OBLIGATIONS","FQ3 2007","FQ3 2007","Currency=USD","Period=FQ","BEST_FPERIOD_OVERRIDE=FQ","FILING_STATUS=OR","SCALING_FORMAT=MLN","Sort=A","Dates=H","DateFormat=P","Fill=—","Direction=H","UseDPDF=Y")</f>
        <v>—</v>
      </c>
      <c r="AL36" s="13">
        <f>_xll.BDH("AMZN US Equity","ST_CAPITAL_LEASE_OBLIGATIONS","FQ4 2007","FQ4 2007","Currency=USD","Period=FQ","BEST_FPERIOD_OVERRIDE=FQ","FILING_STATUS=OR","SCALING_FORMAT=MLN","Sort=A","Dates=H","DateFormat=P","Fill=—","Direction=H","UseDPDF=Y")</f>
        <v>26</v>
      </c>
      <c r="AM36" s="13" t="str">
        <f>_xll.BDH("AMZN US Equity","ST_CAPITAL_LEASE_OBLIGATIONS","FQ1 2008","FQ1 2008","Currency=USD","Period=FQ","BEST_FPERIOD_OVERRIDE=FQ","FILING_STATUS=OR","SCALING_FORMAT=MLN","Sort=A","Dates=H","DateFormat=P","Fill=—","Direction=H","UseDPDF=Y")</f>
        <v>—</v>
      </c>
      <c r="AN36" s="13" t="str">
        <f>_xll.BDH("AMZN US Equity","ST_CAPITAL_LEASE_OBLIGATIONS","FQ2 2008","FQ2 2008","Currency=USD","Period=FQ","BEST_FPERIOD_OVERRIDE=FQ","FILING_STATUS=OR","SCALING_FORMAT=MLN","Sort=A","Dates=H","DateFormat=P","Fill=—","Direction=H","UseDPDF=Y")</f>
        <v>—</v>
      </c>
      <c r="AO36" s="13" t="str">
        <f>_xll.BDH("AMZN US Equity","ST_CAPITAL_LEASE_OBLIGATIONS","FQ3 2008","FQ3 2008","Currency=USD","Period=FQ","BEST_FPERIOD_OVERRIDE=FQ","FILING_STATUS=OR","SCALING_FORMAT=MLN","Sort=A","Dates=H","DateFormat=P","Fill=—","Direction=H","UseDPDF=Y")</f>
        <v>—</v>
      </c>
      <c r="AP36" s="13">
        <f>_xll.BDH("AMZN US Equity","ST_CAPITAL_LEASE_OBLIGATIONS","FQ4 2008","FQ4 2008","Currency=USD","Period=FQ","BEST_FPERIOD_OVERRIDE=FQ","FILING_STATUS=OR","SCALING_FORMAT=MLN","Sort=A","Dates=H","DateFormat=P","Fill=—","Direction=H","UseDPDF=Y")</f>
        <v>72</v>
      </c>
    </row>
    <row r="37" spans="1:42" x14ac:dyDescent="0.25">
      <c r="A37" s="10" t="s">
        <v>236</v>
      </c>
      <c r="B37" s="10" t="s">
        <v>237</v>
      </c>
      <c r="C37" s="13">
        <f>_xll.BDH("AMZN US Equity","OTHER_CURRENT_LIABS_SUB_DETAILED","FQ4 1998","FQ4 1998","Currency=USD","Period=FQ","BEST_FPERIOD_OVERRIDE=FQ","FILING_STATUS=OR","SCALING_FORMAT=MLN","Sort=A","Dates=H","DateFormat=P","Fill=—","Direction=H","UseDPDF=Y")</f>
        <v>47.618000000000002</v>
      </c>
      <c r="D37" s="13">
        <f>_xll.BDH("AMZN US Equity","OTHER_CURRENT_LIABS_SUB_DETAILED","FQ1 1999","FQ1 1999","Currency=USD","Period=FQ","BEST_FPERIOD_OVERRIDE=FQ","FILING_STATUS=OR","SCALING_FORMAT=MLN","Sort=A","Dates=H","DateFormat=P","Fill=—","Direction=H","UseDPDF=Y")</f>
        <v>61.381</v>
      </c>
      <c r="E37" s="13">
        <f>_xll.BDH("AMZN US Equity","OTHER_CURRENT_LIABS_SUB_DETAILED","FQ2 1999","FQ2 1999","Currency=USD","Period=FQ","BEST_FPERIOD_OVERRIDE=FQ","FILING_STATUS=OR","SCALING_FORMAT=MLN","Sort=A","Dates=H","DateFormat=P","Fill=—","Direction=H","UseDPDF=Y")</f>
        <v>102.08799999999999</v>
      </c>
      <c r="F37" s="13">
        <f>_xll.BDH("AMZN US Equity","OTHER_CURRENT_LIABS_SUB_DETAILED","FQ3 1999","FQ3 1999","Currency=USD","Period=FQ","BEST_FPERIOD_OVERRIDE=FQ","FILING_STATUS=OR","SCALING_FORMAT=MLN","Sort=A","Dates=H","DateFormat=P","Fill=—","Direction=H","UseDPDF=Y")</f>
        <v>108.184</v>
      </c>
      <c r="G37" s="13">
        <f>_xll.BDH("AMZN US Equity","OTHER_CURRENT_LIABS_SUB_DETAILED","FQ4 1999","FQ4 1999","Currency=USD","Period=FQ","BEST_FPERIOD_OVERRIDE=FQ","FILING_STATUS=OR","SCALING_FORMAT=MLN","Sort=A","Dates=H","DateFormat=P","Fill=—","Direction=H","UseDPDF=Y")</f>
        <v>261.58699999999999</v>
      </c>
      <c r="H37" s="13">
        <f>_xll.BDH("AMZN US Equity","OTHER_CURRENT_LIABS_SUB_DETAILED","FQ1 2000","FQ1 2000","Currency=USD","Period=FQ","BEST_FPERIOD_OVERRIDE=FQ","FILING_STATUS=OR","SCALING_FORMAT=MLN","Sort=A","Dates=H","DateFormat=P","Fill=—","Direction=H","UseDPDF=Y")</f>
        <v>295.38499999999999</v>
      </c>
      <c r="I37" s="13">
        <f>_xll.BDH("AMZN US Equity","OTHER_CURRENT_LIABS_SUB_DETAILED","FQ3 2000","FQ3 2000","Currency=USD","Period=FQ","BEST_FPERIOD_OVERRIDE=FQ","FILING_STATUS=OR","SCALING_FORMAT=MLN","Sort=A","Dates=H","DateFormat=P","Fill=—","Direction=H","UseDPDF=Y")</f>
        <v>337.17500000000001</v>
      </c>
      <c r="J37" s="13">
        <f>_xll.BDH("AMZN US Equity","OTHER_CURRENT_LIABS_SUB_DETAILED","FQ4 2000","FQ4 2000","Currency=USD","Period=FQ","BEST_FPERIOD_OVERRIDE=FQ","FILING_STATUS=OR","SCALING_FORMAT=MLN","Sort=A","Dates=H","DateFormat=P","Fill=—","Direction=H","UseDPDF=Y")</f>
        <v>472.99599999999998</v>
      </c>
      <c r="K37" s="13">
        <f>_xll.BDH("AMZN US Equity","OTHER_CURRENT_LIABS_SUB_DETAILED","FQ1 2001","FQ1 2001","Currency=USD","Period=FQ","BEST_FPERIOD_OVERRIDE=FQ","FILING_STATUS=OR","SCALING_FORMAT=MLN","Sort=A","Dates=H","DateFormat=P","Fill=—","Direction=H","UseDPDF=Y")</f>
        <v>327.99400000000003</v>
      </c>
      <c r="L37" s="13">
        <f>_xll.BDH("AMZN US Equity","OTHER_CURRENT_LIABS_SUB_DETAILED","FQ2 2001","FQ2 2001","Currency=USD","Period=FQ","BEST_FPERIOD_OVERRIDE=FQ","FILING_STATUS=OR","SCALING_FORMAT=MLN","Sort=A","Dates=H","DateFormat=P","Fill=—","Direction=H","UseDPDF=Y")</f>
        <v>371.92700000000002</v>
      </c>
      <c r="M37" s="13">
        <f>_xll.BDH("AMZN US Equity","OTHER_CURRENT_LIABS_SUB_DETAILED","FQ3 2001","FQ3 2001","Currency=USD","Period=FQ","BEST_FPERIOD_OVERRIDE=FQ","FILING_STATUS=OR","SCALING_FORMAT=MLN","Sort=A","Dates=H","DateFormat=P","Fill=—","Direction=H","UseDPDF=Y")</f>
        <v>375.15199999999999</v>
      </c>
      <c r="N37" s="13">
        <f>_xll.BDH("AMZN US Equity","OTHER_CURRENT_LIABS_SUB_DETAILED","FQ4 2001","FQ4 2001","Currency=USD","Period=FQ","BEST_FPERIOD_OVERRIDE=FQ","FILING_STATUS=OR","SCALING_FORMAT=MLN","Sort=A","Dates=H","DateFormat=P","Fill=—","Direction=H","UseDPDF=Y")</f>
        <v>461.67399999999998</v>
      </c>
      <c r="O37" s="13">
        <f>_xll.BDH("AMZN US Equity","OTHER_CURRENT_LIABS_SUB_DETAILED","FQ1 2002","FQ1 2002","Currency=USD","Period=FQ","BEST_FPERIOD_OVERRIDE=FQ","FILING_STATUS=OR","SCALING_FORMAT=MLN","Sort=A","Dates=H","DateFormat=P","Fill=—","Direction=H","UseDPDF=Y")</f>
        <v>328.45600000000002</v>
      </c>
      <c r="P37" s="13">
        <f>_xll.BDH("AMZN US Equity","OTHER_CURRENT_LIABS_SUB_DETAILED","FQ2 2002","FQ2 2002","Currency=USD","Period=FQ","BEST_FPERIOD_OVERRIDE=FQ","FILING_STATUS=OR","SCALING_FORMAT=MLN","Sort=A","Dates=H","DateFormat=P","Fill=—","Direction=H","UseDPDF=Y")</f>
        <v>349.75799999999998</v>
      </c>
      <c r="Q37" s="13">
        <f>_xll.BDH("AMZN US Equity","OTHER_CURRENT_LIABS_SUB_DETAILED","FQ3 2002","FQ3 2002","Currency=USD","Period=FQ","BEST_FPERIOD_OVERRIDE=FQ","FILING_STATUS=OR","SCALING_FORMAT=MLN","Sort=A","Dates=H","DateFormat=P","Fill=—","Direction=H","UseDPDF=Y")</f>
        <v>350.34500000000003</v>
      </c>
      <c r="R37" s="13">
        <f>_xll.BDH("AMZN US Equity","OTHER_CURRENT_LIABS_SUB_DETAILED","FQ4 2002","FQ4 2002","Currency=USD","Period=FQ","BEST_FPERIOD_OVERRIDE=FQ","FILING_STATUS=OR","SCALING_FORMAT=MLN","Sort=A","Dates=H","DateFormat=P","Fill=—","Direction=H","UseDPDF=Y")</f>
        <v>434.512</v>
      </c>
      <c r="S37" s="13">
        <f>_xll.BDH("AMZN US Equity","OTHER_CURRENT_LIABS_SUB_DETAILED","FQ1 2003","FQ1 2003","Currency=USD","Period=FQ","BEST_FPERIOD_OVERRIDE=FQ","FILING_STATUS=OR","SCALING_FORMAT=MLN","Sort=A","Dates=H","DateFormat=P","Fill=—","Direction=H","UseDPDF=Y")</f>
        <v>293.80500000000001</v>
      </c>
      <c r="T37" s="13">
        <f>_xll.BDH("AMZN US Equity","OTHER_CURRENT_LIABS_SUB_DETAILED","FQ2 2003","FQ2 2003","Currency=USD","Period=FQ","BEST_FPERIOD_OVERRIDE=FQ","FILING_STATUS=OR","SCALING_FORMAT=MLN","Sort=A","Dates=H","DateFormat=P","Fill=—","Direction=H","UseDPDF=Y")</f>
        <v>316.14299999999997</v>
      </c>
      <c r="U37" s="13">
        <f>_xll.BDH("AMZN US Equity","OTHER_CURRENT_LIABS_SUB_DETAILED","FQ3 2003","FQ3 2003","Currency=USD","Period=FQ","BEST_FPERIOD_OVERRIDE=FQ","FILING_STATUS=OR","SCALING_FORMAT=MLN","Sort=A","Dates=H","DateFormat=P","Fill=—","Direction=H","UseDPDF=Y")</f>
        <v>321.50299999999999</v>
      </c>
      <c r="V37" s="13">
        <f>_xll.BDH("AMZN US Equity","OTHER_CURRENT_LIABS_SUB_DETAILED","FQ4 2003","FQ4 2003","Currency=USD","Period=FQ","BEST_FPERIOD_OVERRIDE=FQ","FILING_STATUS=OR","SCALING_FORMAT=MLN","Sort=A","Dates=H","DateFormat=P","Fill=—","Direction=H","UseDPDF=Y")</f>
        <v>428.67410000000001</v>
      </c>
      <c r="W37" s="13">
        <f>_xll.BDH("AMZN US Equity","OTHER_CURRENT_LIABS_SUB_DETAILED","FQ1 2004","FQ1 2004","Currency=USD","Period=FQ","BEST_FPERIOD_OVERRIDE=FQ","FILING_STATUS=OR","SCALING_FORMAT=MLN","Sort=A","Dates=H","DateFormat=P","Fill=—","Direction=H","UseDPDF=Y")</f>
        <v>295.875</v>
      </c>
      <c r="X37" s="13">
        <f>_xll.BDH("AMZN US Equity","OTHER_CURRENT_LIABS_SUB_DETAILED","FQ2 2004","FQ2 2004","Currency=USD","Period=FQ","BEST_FPERIOD_OVERRIDE=FQ","FILING_STATUS=OR","SCALING_FORMAT=MLN","Sort=A","Dates=H","DateFormat=P","Fill=—","Direction=H","UseDPDF=Y")</f>
        <v>328.82799999999997</v>
      </c>
      <c r="Y37" s="13">
        <f>_xll.BDH("AMZN US Equity","OTHER_CURRENT_LIABS_SUB_DETAILED","FQ3 2004","FQ3 2004","Currency=USD","Period=FQ","BEST_FPERIOD_OVERRIDE=FQ","FILING_STATUS=OR","SCALING_FORMAT=MLN","Sort=A","Dates=H","DateFormat=P","Fill=—","Direction=H","UseDPDF=Y")</f>
        <v>359.274</v>
      </c>
      <c r="Z37" s="13">
        <f>_xll.BDH("AMZN US Equity","OTHER_CURRENT_LIABS_SUB_DETAILED","FQ4 2004","FQ4 2004","Currency=USD","Period=FQ","BEST_FPERIOD_OVERRIDE=FQ","FILING_STATUS=OR","SCALING_FORMAT=MLN","Sort=A","Dates=H","DateFormat=P","Fill=—","Direction=H","UseDPDF=Y")</f>
        <v>476.286</v>
      </c>
      <c r="AA37" s="13">
        <f>_xll.BDH("AMZN US Equity","OTHER_CURRENT_LIABS_SUB_DETAILED","FQ1 2005","FQ1 2005","Currency=USD","Period=FQ","BEST_FPERIOD_OVERRIDE=FQ","FILING_STATUS=OR","SCALING_FORMAT=MLN","Sort=A","Dates=H","DateFormat=P","Fill=—","Direction=H","UseDPDF=Y")</f>
        <v>367</v>
      </c>
      <c r="AB37" s="13">
        <f>_xll.BDH("AMZN US Equity","OTHER_CURRENT_LIABS_SUB_DETAILED","FQ2 2005","FQ2 2005","Currency=USD","Period=FQ","BEST_FPERIOD_OVERRIDE=FQ","FILING_STATUS=OR","SCALING_FORMAT=MLN","Sort=A","Dates=H","DateFormat=P","Fill=—","Direction=H","UseDPDF=Y")</f>
        <v>401</v>
      </c>
      <c r="AC37" s="13">
        <f>_xll.BDH("AMZN US Equity","OTHER_CURRENT_LIABS_SUB_DETAILED","FQ3 2005","FQ3 2005","Currency=USD","Period=FQ","BEST_FPERIOD_OVERRIDE=FQ","FILING_STATUS=OR","SCALING_FORMAT=MLN","Sort=A","Dates=H","DateFormat=P","Fill=—","Direction=H","UseDPDF=Y")</f>
        <v>420</v>
      </c>
      <c r="AD37" s="13">
        <f>_xll.BDH("AMZN US Equity","OTHER_CURRENT_LIABS_SUB_DETAILED","FQ4 2005","FQ4 2005","Currency=USD","Period=FQ","BEST_FPERIOD_OVERRIDE=FQ","FILING_STATUS=OR","SCALING_FORMAT=MLN","Sort=A","Dates=H","DateFormat=P","Fill=—","Direction=H","UseDPDF=Y")</f>
        <v>558</v>
      </c>
      <c r="AE37" s="13">
        <f>_xll.BDH("AMZN US Equity","OTHER_CURRENT_LIABS_SUB_DETAILED","FQ1 2006","FQ1 2006","Currency=USD","Period=FQ","BEST_FPERIOD_OVERRIDE=FQ","FILING_STATUS=OR","SCALING_FORMAT=MLN","Sort=A","Dates=H","DateFormat=P","Fill=—","Direction=H","UseDPDF=Y")</f>
        <v>485</v>
      </c>
      <c r="AF37" s="13">
        <f>_xll.BDH("AMZN US Equity","OTHER_CURRENT_LIABS_SUB_DETAILED","FQ2 2006","FQ2 2006","Currency=USD","Period=FQ","BEST_FPERIOD_OVERRIDE=FQ","FILING_STATUS=OR","SCALING_FORMAT=MLN","Sort=A","Dates=H","DateFormat=P","Fill=—","Direction=H","UseDPDF=Y")</f>
        <v>472</v>
      </c>
      <c r="AG37" s="13">
        <f>_xll.BDH("AMZN US Equity","OTHER_CURRENT_LIABS_SUB_DETAILED","FQ3 2006","FQ3 2006","Currency=USD","Period=FQ","BEST_FPERIOD_OVERRIDE=FQ","FILING_STATUS=OR","SCALING_FORMAT=MLN","Sort=A","Dates=H","DateFormat=P","Fill=—","Direction=H","UseDPDF=Y")</f>
        <v>502</v>
      </c>
      <c r="AH37" s="13">
        <f>_xll.BDH("AMZN US Equity","OTHER_CURRENT_LIABS_SUB_DETAILED","FQ4 2006","FQ4 2006","Currency=USD","Period=FQ","BEST_FPERIOD_OVERRIDE=FQ","FILING_STATUS=OR","SCALING_FORMAT=MLN","Sort=A","Dates=H","DateFormat=P","Fill=—","Direction=H","UseDPDF=Y")</f>
        <v>665</v>
      </c>
      <c r="AI37" s="13">
        <f>_xll.BDH("AMZN US Equity","OTHER_CURRENT_LIABS_SUB_DETAILED","FQ1 2007","FQ1 2007","Currency=USD","Period=FQ","BEST_FPERIOD_OVERRIDE=FQ","FILING_STATUS=OR","SCALING_FORMAT=MLN","Sort=A","Dates=H","DateFormat=P","Fill=—","Direction=H","UseDPDF=Y")</f>
        <v>636</v>
      </c>
      <c r="AJ37" s="13">
        <f>_xll.BDH("AMZN US Equity","OTHER_CURRENT_LIABS_SUB_DETAILED","FQ2 2007","FQ2 2007","Currency=USD","Period=FQ","BEST_FPERIOD_OVERRIDE=FQ","FILING_STATUS=OR","SCALING_FORMAT=MLN","Sort=A","Dates=H","DateFormat=P","Fill=—","Direction=H","UseDPDF=Y")</f>
        <v>625</v>
      </c>
      <c r="AK37" s="13">
        <f>_xll.BDH("AMZN US Equity","OTHER_CURRENT_LIABS_SUB_DETAILED","FQ3 2007","FQ3 2007","Currency=USD","Period=FQ","BEST_FPERIOD_OVERRIDE=FQ","FILING_STATUS=OR","SCALING_FORMAT=MLN","Sort=A","Dates=H","DateFormat=P","Fill=—","Direction=H","UseDPDF=Y")</f>
        <v>645</v>
      </c>
      <c r="AL37" s="13">
        <f>_xll.BDH("AMZN US Equity","OTHER_CURRENT_LIABS_SUB_DETAILED","FQ4 2007","FQ4 2007","Currency=USD","Period=FQ","BEST_FPERIOD_OVERRIDE=FQ","FILING_STATUS=OR","SCALING_FORMAT=MLN","Sort=A","Dates=H","DateFormat=P","Fill=—","Direction=H","UseDPDF=Y")</f>
        <v>876</v>
      </c>
      <c r="AM37" s="13">
        <f>_xll.BDH("AMZN US Equity","OTHER_CURRENT_LIABS_SUB_DETAILED","FQ1 2008","FQ1 2008","Currency=USD","Period=FQ","BEST_FPERIOD_OVERRIDE=FQ","FILING_STATUS=OR","SCALING_FORMAT=MLN","Sort=A","Dates=H","DateFormat=P","Fill=—","Direction=H","UseDPDF=Y")</f>
        <v>781</v>
      </c>
      <c r="AN37" s="13">
        <f>_xll.BDH("AMZN US Equity","OTHER_CURRENT_LIABS_SUB_DETAILED","FQ2 2008","FQ2 2008","Currency=USD","Period=FQ","BEST_FPERIOD_OVERRIDE=FQ","FILING_STATUS=OR","SCALING_FORMAT=MLN","Sort=A","Dates=H","DateFormat=P","Fill=—","Direction=H","UseDPDF=Y")</f>
        <v>812</v>
      </c>
      <c r="AO37" s="13">
        <f>_xll.BDH("AMZN US Equity","OTHER_CURRENT_LIABS_SUB_DETAILED","FQ3 2008","FQ3 2008","Currency=USD","Period=FQ","BEST_FPERIOD_OVERRIDE=FQ","FILING_STATUS=OR","SCALING_FORMAT=MLN","Sort=A","Dates=H","DateFormat=P","Fill=—","Direction=H","UseDPDF=Y")</f>
        <v>860</v>
      </c>
      <c r="AP37" s="13">
        <f>_xll.BDH("AMZN US Equity","OTHER_CURRENT_LIABS_SUB_DETAILED","FQ4 2008","FQ4 2008","Currency=USD","Period=FQ","BEST_FPERIOD_OVERRIDE=FQ","FILING_STATUS=OR","SCALING_FORMAT=MLN","Sort=A","Dates=H","DateFormat=P","Fill=—","Direction=H","UseDPDF=Y")</f>
        <v>1021</v>
      </c>
    </row>
    <row r="38" spans="1:42" x14ac:dyDescent="0.25">
      <c r="A38" s="10" t="s">
        <v>238</v>
      </c>
      <c r="B38" s="10" t="s">
        <v>239</v>
      </c>
      <c r="C38" s="13">
        <f>_xll.BDH("AMZN US Equity","OTHER_CURRENT_LIABS_DETAILED","FQ4 1998","FQ4 1998","Currency=USD","Period=FQ","BEST_FPERIOD_OVERRIDE=FQ","FILING_STATUS=OR","SCALING_FORMAT=MLN","Sort=A","Dates=H","DateFormat=P","Fill=—","Direction=H","UseDPDF=Y")</f>
        <v>47.618000000000002</v>
      </c>
      <c r="D38" s="13">
        <f>_xll.BDH("AMZN US Equity","OTHER_CURRENT_LIABS_DETAILED","FQ1 1999","FQ1 1999","Currency=USD","Period=FQ","BEST_FPERIOD_OVERRIDE=FQ","FILING_STATUS=OR","SCALING_FORMAT=MLN","Sort=A","Dates=H","DateFormat=P","Fill=—","Direction=H","UseDPDF=Y")</f>
        <v>61.381</v>
      </c>
      <c r="E38" s="13">
        <f>_xll.BDH("AMZN US Equity","OTHER_CURRENT_LIABS_DETAILED","FQ2 1999","FQ2 1999","Currency=USD","Period=FQ","BEST_FPERIOD_OVERRIDE=FQ","FILING_STATUS=OR","SCALING_FORMAT=MLN","Sort=A","Dates=H","DateFormat=P","Fill=—","Direction=H","UseDPDF=Y")</f>
        <v>102.08799999999999</v>
      </c>
      <c r="F38" s="13">
        <f>_xll.BDH("AMZN US Equity","OTHER_CURRENT_LIABS_DETAILED","FQ3 1999","FQ3 1999","Currency=USD","Period=FQ","BEST_FPERIOD_OVERRIDE=FQ","FILING_STATUS=OR","SCALING_FORMAT=MLN","Sort=A","Dates=H","DateFormat=P","Fill=—","Direction=H","UseDPDF=Y")</f>
        <v>108.184</v>
      </c>
      <c r="G38" s="13">
        <f>_xll.BDH("AMZN US Equity","OTHER_CURRENT_LIABS_DETAILED","FQ4 1999","FQ4 1999","Currency=USD","Period=FQ","BEST_FPERIOD_OVERRIDE=FQ","FILING_STATUS=OR","SCALING_FORMAT=MLN","Sort=A","Dates=H","DateFormat=P","Fill=—","Direction=H","UseDPDF=Y")</f>
        <v>261.58699999999999</v>
      </c>
      <c r="H38" s="13">
        <f>_xll.BDH("AMZN US Equity","OTHER_CURRENT_LIABS_DETAILED","FQ1 2000","FQ1 2000","Currency=USD","Period=FQ","BEST_FPERIOD_OVERRIDE=FQ","FILING_STATUS=OR","SCALING_FORMAT=MLN","Sort=A","Dates=H","DateFormat=P","Fill=—","Direction=H","UseDPDF=Y")</f>
        <v>295.38499999999999</v>
      </c>
      <c r="I38" s="13">
        <f>_xll.BDH("AMZN US Equity","OTHER_CURRENT_LIABS_DETAILED","FQ3 2000","FQ3 2000","Currency=USD","Period=FQ","BEST_FPERIOD_OVERRIDE=FQ","FILING_STATUS=OR","SCALING_FORMAT=MLN","Sort=A","Dates=H","DateFormat=P","Fill=—","Direction=H","UseDPDF=Y")</f>
        <v>337.17500000000001</v>
      </c>
      <c r="J38" s="13">
        <f>_xll.BDH("AMZN US Equity","OTHER_CURRENT_LIABS_DETAILED","FQ4 2000","FQ4 2000","Currency=USD","Period=FQ","BEST_FPERIOD_OVERRIDE=FQ","FILING_STATUS=OR","SCALING_FORMAT=MLN","Sort=A","Dates=H","DateFormat=P","Fill=—","Direction=H","UseDPDF=Y")</f>
        <v>472.99599999999998</v>
      </c>
      <c r="K38" s="13">
        <f>_xll.BDH("AMZN US Equity","OTHER_CURRENT_LIABS_DETAILED","FQ1 2001","FQ1 2001","Currency=USD","Period=FQ","BEST_FPERIOD_OVERRIDE=FQ","FILING_STATUS=OR","SCALING_FORMAT=MLN","Sort=A","Dates=H","DateFormat=P","Fill=—","Direction=H","UseDPDF=Y")</f>
        <v>327.99400000000003</v>
      </c>
      <c r="L38" s="13">
        <f>_xll.BDH("AMZN US Equity","OTHER_CURRENT_LIABS_DETAILED","FQ2 2001","FQ2 2001","Currency=USD","Period=FQ","BEST_FPERIOD_OVERRIDE=FQ","FILING_STATUS=OR","SCALING_FORMAT=MLN","Sort=A","Dates=H","DateFormat=P","Fill=—","Direction=H","UseDPDF=Y")</f>
        <v>371.92700000000002</v>
      </c>
      <c r="M38" s="13">
        <f>_xll.BDH("AMZN US Equity","OTHER_CURRENT_LIABS_DETAILED","FQ3 2001","FQ3 2001","Currency=USD","Period=FQ","BEST_FPERIOD_OVERRIDE=FQ","FILING_STATUS=OR","SCALING_FORMAT=MLN","Sort=A","Dates=H","DateFormat=P","Fill=—","Direction=H","UseDPDF=Y")</f>
        <v>375.15199999999999</v>
      </c>
      <c r="N38" s="13">
        <f>_xll.BDH("AMZN US Equity","OTHER_CURRENT_LIABS_DETAILED","FQ4 2001","FQ4 2001","Currency=USD","Period=FQ","BEST_FPERIOD_OVERRIDE=FQ","FILING_STATUS=OR","SCALING_FORMAT=MLN","Sort=A","Dates=H","DateFormat=P","Fill=—","Direction=H","UseDPDF=Y")</f>
        <v>461.67399999999998</v>
      </c>
      <c r="O38" s="13">
        <f>_xll.BDH("AMZN US Equity","OTHER_CURRENT_LIABS_DETAILED","FQ1 2002","FQ1 2002","Currency=USD","Period=FQ","BEST_FPERIOD_OVERRIDE=FQ","FILING_STATUS=OR","SCALING_FORMAT=MLN","Sort=A","Dates=H","DateFormat=P","Fill=—","Direction=H","UseDPDF=Y")</f>
        <v>328.45600000000002</v>
      </c>
      <c r="P38" s="13">
        <f>_xll.BDH("AMZN US Equity","OTHER_CURRENT_LIABS_DETAILED","FQ2 2002","FQ2 2002","Currency=USD","Period=FQ","BEST_FPERIOD_OVERRIDE=FQ","FILING_STATUS=OR","SCALING_FORMAT=MLN","Sort=A","Dates=H","DateFormat=P","Fill=—","Direction=H","UseDPDF=Y")</f>
        <v>349.75799999999998</v>
      </c>
      <c r="Q38" s="13">
        <f>_xll.BDH("AMZN US Equity","OTHER_CURRENT_LIABS_DETAILED","FQ3 2002","FQ3 2002","Currency=USD","Period=FQ","BEST_FPERIOD_OVERRIDE=FQ","FILING_STATUS=OR","SCALING_FORMAT=MLN","Sort=A","Dates=H","DateFormat=P","Fill=—","Direction=H","UseDPDF=Y")</f>
        <v>350.34500000000003</v>
      </c>
      <c r="R38" s="13">
        <f>_xll.BDH("AMZN US Equity","OTHER_CURRENT_LIABS_DETAILED","FQ4 2002","FQ4 2002","Currency=USD","Period=FQ","BEST_FPERIOD_OVERRIDE=FQ","FILING_STATUS=OR","SCALING_FORMAT=MLN","Sort=A","Dates=H","DateFormat=P","Fill=—","Direction=H","UseDPDF=Y")</f>
        <v>434.512</v>
      </c>
      <c r="S38" s="13">
        <f>_xll.BDH("AMZN US Equity","OTHER_CURRENT_LIABS_DETAILED","FQ1 2003","FQ1 2003","Currency=USD","Period=FQ","BEST_FPERIOD_OVERRIDE=FQ","FILING_STATUS=OR","SCALING_FORMAT=MLN","Sort=A","Dates=H","DateFormat=P","Fill=—","Direction=H","UseDPDF=Y")</f>
        <v>293.80500000000001</v>
      </c>
      <c r="T38" s="13">
        <f>_xll.BDH("AMZN US Equity","OTHER_CURRENT_LIABS_DETAILED","FQ2 2003","FQ2 2003","Currency=USD","Period=FQ","BEST_FPERIOD_OVERRIDE=FQ","FILING_STATUS=OR","SCALING_FORMAT=MLN","Sort=A","Dates=H","DateFormat=P","Fill=—","Direction=H","UseDPDF=Y")</f>
        <v>316.14299999999997</v>
      </c>
      <c r="U38" s="13">
        <f>_xll.BDH("AMZN US Equity","OTHER_CURRENT_LIABS_DETAILED","FQ3 2003","FQ3 2003","Currency=USD","Period=FQ","BEST_FPERIOD_OVERRIDE=FQ","FILING_STATUS=OR","SCALING_FORMAT=MLN","Sort=A","Dates=H","DateFormat=P","Fill=—","Direction=H","UseDPDF=Y")</f>
        <v>321.50299999999999</v>
      </c>
      <c r="V38" s="13">
        <f>_xll.BDH("AMZN US Equity","OTHER_CURRENT_LIABS_DETAILED","FQ4 2003","FQ4 2003","Currency=USD","Period=FQ","BEST_FPERIOD_OVERRIDE=FQ","FILING_STATUS=OR","SCALING_FORMAT=MLN","Sort=A","Dates=H","DateFormat=P","Fill=—","Direction=H","UseDPDF=Y")</f>
        <v>428.67410000000001</v>
      </c>
      <c r="W38" s="13">
        <f>_xll.BDH("AMZN US Equity","OTHER_CURRENT_LIABS_DETAILED","FQ1 2004","FQ1 2004","Currency=USD","Period=FQ","BEST_FPERIOD_OVERRIDE=FQ","FILING_STATUS=OR","SCALING_FORMAT=MLN","Sort=A","Dates=H","DateFormat=P","Fill=—","Direction=H","UseDPDF=Y")</f>
        <v>295.875</v>
      </c>
      <c r="X38" s="13">
        <f>_xll.BDH("AMZN US Equity","OTHER_CURRENT_LIABS_DETAILED","FQ2 2004","FQ2 2004","Currency=USD","Period=FQ","BEST_FPERIOD_OVERRIDE=FQ","FILING_STATUS=OR","SCALING_FORMAT=MLN","Sort=A","Dates=H","DateFormat=P","Fill=—","Direction=H","UseDPDF=Y")</f>
        <v>328.82799999999997</v>
      </c>
      <c r="Y38" s="13">
        <f>_xll.BDH("AMZN US Equity","OTHER_CURRENT_LIABS_DETAILED","FQ3 2004","FQ3 2004","Currency=USD","Period=FQ","BEST_FPERIOD_OVERRIDE=FQ","FILING_STATUS=OR","SCALING_FORMAT=MLN","Sort=A","Dates=H","DateFormat=P","Fill=—","Direction=H","UseDPDF=Y")</f>
        <v>359.274</v>
      </c>
      <c r="Z38" s="13">
        <f>_xll.BDH("AMZN US Equity","OTHER_CURRENT_LIABS_DETAILED","FQ4 2004","FQ4 2004","Currency=USD","Period=FQ","BEST_FPERIOD_OVERRIDE=FQ","FILING_STATUS=OR","SCALING_FORMAT=MLN","Sort=A","Dates=H","DateFormat=P","Fill=—","Direction=H","UseDPDF=Y")</f>
        <v>476.286</v>
      </c>
      <c r="AA38" s="13">
        <f>_xll.BDH("AMZN US Equity","OTHER_CURRENT_LIABS_DETAILED","FQ1 2005","FQ1 2005","Currency=USD","Period=FQ","BEST_FPERIOD_OVERRIDE=FQ","FILING_STATUS=OR","SCALING_FORMAT=MLN","Sort=A","Dates=H","DateFormat=P","Fill=—","Direction=H","UseDPDF=Y")</f>
        <v>367</v>
      </c>
      <c r="AB38" s="13">
        <f>_xll.BDH("AMZN US Equity","OTHER_CURRENT_LIABS_DETAILED","FQ2 2005","FQ2 2005","Currency=USD","Period=FQ","BEST_FPERIOD_OVERRIDE=FQ","FILING_STATUS=OR","SCALING_FORMAT=MLN","Sort=A","Dates=H","DateFormat=P","Fill=—","Direction=H","UseDPDF=Y")</f>
        <v>401</v>
      </c>
      <c r="AC38" s="13">
        <f>_xll.BDH("AMZN US Equity","OTHER_CURRENT_LIABS_DETAILED","FQ3 2005","FQ3 2005","Currency=USD","Period=FQ","BEST_FPERIOD_OVERRIDE=FQ","FILING_STATUS=OR","SCALING_FORMAT=MLN","Sort=A","Dates=H","DateFormat=P","Fill=—","Direction=H","UseDPDF=Y")</f>
        <v>420</v>
      </c>
      <c r="AD38" s="13">
        <f>_xll.BDH("AMZN US Equity","OTHER_CURRENT_LIABS_DETAILED","FQ4 2005","FQ4 2005","Currency=USD","Period=FQ","BEST_FPERIOD_OVERRIDE=FQ","FILING_STATUS=OR","SCALING_FORMAT=MLN","Sort=A","Dates=H","DateFormat=P","Fill=—","Direction=H","UseDPDF=Y")</f>
        <v>558</v>
      </c>
      <c r="AE38" s="13">
        <f>_xll.BDH("AMZN US Equity","OTHER_CURRENT_LIABS_DETAILED","FQ1 2006","FQ1 2006","Currency=USD","Period=FQ","BEST_FPERIOD_OVERRIDE=FQ","FILING_STATUS=OR","SCALING_FORMAT=MLN","Sort=A","Dates=H","DateFormat=P","Fill=—","Direction=H","UseDPDF=Y")</f>
        <v>485</v>
      </c>
      <c r="AF38" s="13">
        <f>_xll.BDH("AMZN US Equity","OTHER_CURRENT_LIABS_DETAILED","FQ2 2006","FQ2 2006","Currency=USD","Period=FQ","BEST_FPERIOD_OVERRIDE=FQ","FILING_STATUS=OR","SCALING_FORMAT=MLN","Sort=A","Dates=H","DateFormat=P","Fill=—","Direction=H","UseDPDF=Y")</f>
        <v>472</v>
      </c>
      <c r="AG38" s="13">
        <f>_xll.BDH("AMZN US Equity","OTHER_CURRENT_LIABS_DETAILED","FQ3 2006","FQ3 2006","Currency=USD","Period=FQ","BEST_FPERIOD_OVERRIDE=FQ","FILING_STATUS=OR","SCALING_FORMAT=MLN","Sort=A","Dates=H","DateFormat=P","Fill=—","Direction=H","UseDPDF=Y")</f>
        <v>502</v>
      </c>
      <c r="AH38" s="13">
        <f>_xll.BDH("AMZN US Equity","OTHER_CURRENT_LIABS_DETAILED","FQ4 2006","FQ4 2006","Currency=USD","Period=FQ","BEST_FPERIOD_OVERRIDE=FQ","FILING_STATUS=OR","SCALING_FORMAT=MLN","Sort=A","Dates=H","DateFormat=P","Fill=—","Direction=H","UseDPDF=Y")</f>
        <v>665</v>
      </c>
      <c r="AI38" s="13">
        <f>_xll.BDH("AMZN US Equity","OTHER_CURRENT_LIABS_DETAILED","FQ1 2007","FQ1 2007","Currency=USD","Period=FQ","BEST_FPERIOD_OVERRIDE=FQ","FILING_STATUS=OR","SCALING_FORMAT=MLN","Sort=A","Dates=H","DateFormat=P","Fill=—","Direction=H","UseDPDF=Y")</f>
        <v>636</v>
      </c>
      <c r="AJ38" s="13">
        <f>_xll.BDH("AMZN US Equity","OTHER_CURRENT_LIABS_DETAILED","FQ2 2007","FQ2 2007","Currency=USD","Period=FQ","BEST_FPERIOD_OVERRIDE=FQ","FILING_STATUS=OR","SCALING_FORMAT=MLN","Sort=A","Dates=H","DateFormat=P","Fill=—","Direction=H","UseDPDF=Y")</f>
        <v>625</v>
      </c>
      <c r="AK38" s="13">
        <f>_xll.BDH("AMZN US Equity","OTHER_CURRENT_LIABS_DETAILED","FQ3 2007","FQ3 2007","Currency=USD","Period=FQ","BEST_FPERIOD_OVERRIDE=FQ","FILING_STATUS=OR","SCALING_FORMAT=MLN","Sort=A","Dates=H","DateFormat=P","Fill=—","Direction=H","UseDPDF=Y")</f>
        <v>645</v>
      </c>
      <c r="AL38" s="13">
        <f>_xll.BDH("AMZN US Equity","OTHER_CURRENT_LIABS_DETAILED","FQ4 2007","FQ4 2007","Currency=USD","Period=FQ","BEST_FPERIOD_OVERRIDE=FQ","FILING_STATUS=OR","SCALING_FORMAT=MLN","Sort=A","Dates=H","DateFormat=P","Fill=—","Direction=H","UseDPDF=Y")</f>
        <v>876</v>
      </c>
      <c r="AM38" s="13">
        <f>_xll.BDH("AMZN US Equity","OTHER_CURRENT_LIABS_DETAILED","FQ1 2008","FQ1 2008","Currency=USD","Period=FQ","BEST_FPERIOD_OVERRIDE=FQ","FILING_STATUS=OR","SCALING_FORMAT=MLN","Sort=A","Dates=H","DateFormat=P","Fill=—","Direction=H","UseDPDF=Y")</f>
        <v>781</v>
      </c>
      <c r="AN38" s="13">
        <f>_xll.BDH("AMZN US Equity","OTHER_CURRENT_LIABS_DETAILED","FQ2 2008","FQ2 2008","Currency=USD","Period=FQ","BEST_FPERIOD_OVERRIDE=FQ","FILING_STATUS=OR","SCALING_FORMAT=MLN","Sort=A","Dates=H","DateFormat=P","Fill=—","Direction=H","UseDPDF=Y")</f>
        <v>812</v>
      </c>
      <c r="AO38" s="13">
        <f>_xll.BDH("AMZN US Equity","OTHER_CURRENT_LIABS_DETAILED","FQ3 2008","FQ3 2008","Currency=USD","Period=FQ","BEST_FPERIOD_OVERRIDE=FQ","FILING_STATUS=OR","SCALING_FORMAT=MLN","Sort=A","Dates=H","DateFormat=P","Fill=—","Direction=H","UseDPDF=Y")</f>
        <v>860</v>
      </c>
      <c r="AP38" s="13">
        <f>_xll.BDH("AMZN US Equity","OTHER_CURRENT_LIABS_DETAILED","FQ4 2008","FQ4 2008","Currency=USD","Period=FQ","BEST_FPERIOD_OVERRIDE=FQ","FILING_STATUS=OR","SCALING_FORMAT=MLN","Sort=A","Dates=H","DateFormat=P","Fill=—","Direction=H","UseDPDF=Y")</f>
        <v>1021</v>
      </c>
    </row>
    <row r="39" spans="1:42" x14ac:dyDescent="0.25">
      <c r="A39" s="6" t="s">
        <v>240</v>
      </c>
      <c r="B39" s="6" t="s">
        <v>241</v>
      </c>
      <c r="C39" s="16">
        <f>_xll.BDH("AMZN US Equity","BS_CUR_LIAB","FQ4 1998","FQ4 1998","Currency=USD","Period=FQ","BEST_FPERIOD_OVERRIDE=FQ","FILING_STATUS=OR","SCALING_FORMAT=MLN","Sort=A","Dates=H","DateFormat=P","Fill=—","Direction=H","UseDPDF=Y")</f>
        <v>161.57499999999999</v>
      </c>
      <c r="D39" s="16">
        <f>_xll.BDH("AMZN US Equity","BS_CUR_LIAB","FQ1 1999","FQ1 1999","Currency=USD","Period=FQ","BEST_FPERIOD_OVERRIDE=FQ","FILING_STATUS=OR","SCALING_FORMAT=MLN","Sort=A","Dates=H","DateFormat=P","Fill=—","Direction=H","UseDPDF=Y")</f>
        <v>201.58500000000001</v>
      </c>
      <c r="E39" s="16">
        <f>_xll.BDH("AMZN US Equity","BS_CUR_LIAB","FQ2 1999","FQ2 1999","Currency=USD","Period=FQ","BEST_FPERIOD_OVERRIDE=FQ","FILING_STATUS=OR","SCALING_FORMAT=MLN","Sort=A","Dates=H","DateFormat=P","Fill=—","Direction=H","UseDPDF=Y")</f>
        <v>277.94400000000002</v>
      </c>
      <c r="F39" s="16">
        <f>_xll.BDH("AMZN US Equity","BS_CUR_LIAB","FQ3 1999","FQ3 1999","Currency=USD","Period=FQ","BEST_FPERIOD_OVERRIDE=FQ","FILING_STATUS=OR","SCALING_FORMAT=MLN","Sort=A","Dates=H","DateFormat=P","Fill=—","Direction=H","UseDPDF=Y")</f>
        <v>357.67099999999999</v>
      </c>
      <c r="G39" s="16">
        <f>_xll.BDH("AMZN US Equity","BS_CUR_LIAB","FQ4 1999","FQ4 1999","Currency=USD","Period=FQ","BEST_FPERIOD_OVERRIDE=FQ","FILING_STATUS=OR","SCALING_FORMAT=MLN","Sort=A","Dates=H","DateFormat=P","Fill=—","Direction=H","UseDPDF=Y")</f>
        <v>738.93499999999995</v>
      </c>
      <c r="H39" s="16">
        <f>_xll.BDH("AMZN US Equity","BS_CUR_LIAB","FQ1 2000","FQ1 2000","Currency=USD","Period=FQ","BEST_FPERIOD_OVERRIDE=FQ","FILING_STATUS=OR","SCALING_FORMAT=MLN","Sort=A","Dates=H","DateFormat=P","Fill=—","Direction=H","UseDPDF=Y")</f>
        <v>567.16499999999996</v>
      </c>
      <c r="I39" s="16">
        <f>_xll.BDH("AMZN US Equity","BS_CUR_LIAB","FQ3 2000","FQ3 2000","Currency=USD","Period=FQ","BEST_FPERIOD_OVERRIDE=FQ","FILING_STATUS=OR","SCALING_FORMAT=MLN","Sort=A","Dates=H","DateFormat=P","Fill=—","Direction=H","UseDPDF=Y")</f>
        <v>659.09699999999998</v>
      </c>
      <c r="J39" s="16">
        <f>_xll.BDH("AMZN US Equity","BS_CUR_LIAB","FQ4 2000","FQ4 2000","Currency=USD","Period=FQ","BEST_FPERIOD_OVERRIDE=FQ","FILING_STATUS=OR","SCALING_FORMAT=MLN","Sort=A","Dates=H","DateFormat=P","Fill=—","Direction=H","UseDPDF=Y")</f>
        <v>974.95600000000002</v>
      </c>
      <c r="K39" s="16">
        <f>_xll.BDH("AMZN US Equity","BS_CUR_LIAB","FQ1 2001","FQ1 2001","Currency=USD","Period=FQ","BEST_FPERIOD_OVERRIDE=FQ","FILING_STATUS=OR","SCALING_FORMAT=MLN","Sort=A","Dates=H","DateFormat=P","Fill=—","Direction=H","UseDPDF=Y")</f>
        <v>604.71</v>
      </c>
      <c r="L39" s="16">
        <f>_xll.BDH("AMZN US Equity","BS_CUR_LIAB","FQ2 2001","FQ2 2001","Currency=USD","Period=FQ","BEST_FPERIOD_OVERRIDE=FQ","FILING_STATUS=OR","SCALING_FORMAT=MLN","Sort=A","Dates=H","DateFormat=P","Fill=—","Direction=H","UseDPDF=Y")</f>
        <v>648.24</v>
      </c>
      <c r="M39" s="16">
        <f>_xll.BDH("AMZN US Equity","BS_CUR_LIAB","FQ3 2001","FQ3 2001","Currency=USD","Period=FQ","BEST_FPERIOD_OVERRIDE=FQ","FILING_STATUS=OR","SCALING_FORMAT=MLN","Sort=A","Dates=H","DateFormat=P","Fill=—","Direction=H","UseDPDF=Y")</f>
        <v>628.19799999999998</v>
      </c>
      <c r="N39" s="16">
        <f>_xll.BDH("AMZN US Equity","BS_CUR_LIAB","FQ4 2001","FQ4 2001","Currency=USD","Period=FQ","BEST_FPERIOD_OVERRIDE=FQ","FILING_STATUS=OR","SCALING_FORMAT=MLN","Sort=A","Dates=H","DateFormat=P","Fill=—","Direction=H","UseDPDF=Y")</f>
        <v>921.41399999999999</v>
      </c>
      <c r="O39" s="16">
        <f>_xll.BDH("AMZN US Equity","BS_CUR_LIAB","FQ1 2002","FQ1 2002","Currency=USD","Period=FQ","BEST_FPERIOD_OVERRIDE=FQ","FILING_STATUS=OR","SCALING_FORMAT=MLN","Sort=A","Dates=H","DateFormat=P","Fill=—","Direction=H","UseDPDF=Y")</f>
        <v>657.03</v>
      </c>
      <c r="P39" s="16">
        <f>_xll.BDH("AMZN US Equity","BS_CUR_LIAB","FQ2 2002","FQ2 2002","Currency=USD","Period=FQ","BEST_FPERIOD_OVERRIDE=FQ","FILING_STATUS=OR","SCALING_FORMAT=MLN","Sort=A","Dates=H","DateFormat=P","Fill=—","Direction=H","UseDPDF=Y")</f>
        <v>660.53200000000004</v>
      </c>
      <c r="Q39" s="16">
        <f>_xll.BDH("AMZN US Equity","BS_CUR_LIAB","FQ3 2002","FQ3 2002","Currency=USD","Period=FQ","BEST_FPERIOD_OVERRIDE=FQ","FILING_STATUS=OR","SCALING_FORMAT=MLN","Sort=A","Dates=H","DateFormat=P","Fill=—","Direction=H","UseDPDF=Y")</f>
        <v>710.99800000000005</v>
      </c>
      <c r="R39" s="16">
        <f>_xll.BDH("AMZN US Equity","BS_CUR_LIAB","FQ4 2002","FQ4 2002","Currency=USD","Period=FQ","BEST_FPERIOD_OVERRIDE=FQ","FILING_STATUS=OR","SCALING_FORMAT=MLN","Sort=A","Dates=H","DateFormat=P","Fill=—","Direction=H","UseDPDF=Y")</f>
        <v>1065.9580000000001</v>
      </c>
      <c r="S39" s="16">
        <f>_xll.BDH("AMZN US Equity","BS_CUR_LIAB","FQ1 2003","FQ1 2003","Currency=USD","Period=FQ","BEST_FPERIOD_OVERRIDE=FQ","FILING_STATUS=OR","SCALING_FORMAT=MLN","Sort=A","Dates=H","DateFormat=P","Fill=—","Direction=H","UseDPDF=Y")</f>
        <v>698.57899999999995</v>
      </c>
      <c r="T39" s="16">
        <f>_xll.BDH("AMZN US Equity","BS_CUR_LIAB","FQ2 2003","FQ2 2003","Currency=USD","Period=FQ","BEST_FPERIOD_OVERRIDE=FQ","FILING_STATUS=OR","SCALING_FORMAT=MLN","Sort=A","Dates=H","DateFormat=P","Fill=—","Direction=H","UseDPDF=Y")</f>
        <v>769.38400000000001</v>
      </c>
      <c r="U39" s="16">
        <f>_xll.BDH("AMZN US Equity","BS_CUR_LIAB","FQ3 2003","FQ3 2003","Currency=USD","Period=FQ","BEST_FPERIOD_OVERRIDE=FQ","FILING_STATUS=OR","SCALING_FORMAT=MLN","Sort=A","Dates=H","DateFormat=P","Fill=—","Direction=H","UseDPDF=Y")</f>
        <v>826.75</v>
      </c>
      <c r="V39" s="16">
        <f>_xll.BDH("AMZN US Equity","BS_CUR_LIAB","FQ4 2003","FQ4 2003","Currency=USD","Period=FQ","BEST_FPERIOD_OVERRIDE=FQ","FILING_STATUS=OR","SCALING_FORMAT=MLN","Sort=A","Dates=H","DateFormat=P","Fill=—","Direction=H","UseDPDF=Y")</f>
        <v>1252.701</v>
      </c>
      <c r="W39" s="16">
        <f>_xll.BDH("AMZN US Equity","BS_CUR_LIAB","FQ1 2004","FQ1 2004","Currency=USD","Period=FQ","BEST_FPERIOD_OVERRIDE=FQ","FILING_STATUS=OR","SCALING_FORMAT=MLN","Sort=A","Dates=H","DateFormat=P","Fill=—","Direction=H","UseDPDF=Y")</f>
        <v>865.91099999999994</v>
      </c>
      <c r="X39" s="16">
        <f>_xll.BDH("AMZN US Equity","BS_CUR_LIAB","FQ2 2004","FQ2 2004","Currency=USD","Period=FQ","BEST_FPERIOD_OVERRIDE=FQ","FILING_STATUS=OR","SCALING_FORMAT=MLN","Sort=A","Dates=H","DateFormat=P","Fill=—","Direction=H","UseDPDF=Y")</f>
        <v>916.35400000000004</v>
      </c>
      <c r="Y39" s="16">
        <f>_xll.BDH("AMZN US Equity","BS_CUR_LIAB","FQ3 2004","FQ3 2004","Currency=USD","Period=FQ","BEST_FPERIOD_OVERRIDE=FQ","FILING_STATUS=OR","SCALING_FORMAT=MLN","Sort=A","Dates=H","DateFormat=P","Fill=—","Direction=H","UseDPDF=Y")</f>
        <v>1051.0228999999999</v>
      </c>
      <c r="Z39" s="16">
        <f>_xll.BDH("AMZN US Equity","BS_CUR_LIAB","FQ4 2004","FQ4 2004","Currency=USD","Period=FQ","BEST_FPERIOD_OVERRIDE=FQ","FILING_STATUS=OR","SCALING_FORMAT=MLN","Sort=A","Dates=H","DateFormat=P","Fill=—","Direction=H","UseDPDF=Y")</f>
        <v>1620.4</v>
      </c>
      <c r="AA39" s="16">
        <f>_xll.BDH("AMZN US Equity","BS_CUR_LIAB","FQ1 2005","FQ1 2005","Currency=USD","Period=FQ","BEST_FPERIOD_OVERRIDE=FQ","FILING_STATUS=OR","SCALING_FORMAT=MLN","Sort=A","Dates=H","DateFormat=P","Fill=—","Direction=H","UseDPDF=Y")</f>
        <v>1073</v>
      </c>
      <c r="AB39" s="16">
        <f>_xll.BDH("AMZN US Equity","BS_CUR_LIAB","FQ2 2005","FQ2 2005","Currency=USD","Period=FQ","BEST_FPERIOD_OVERRIDE=FQ","FILING_STATUS=OR","SCALING_FORMAT=MLN","Sort=A","Dates=H","DateFormat=P","Fill=—","Direction=H","UseDPDF=Y")</f>
        <v>1144</v>
      </c>
      <c r="AC39" s="16">
        <f>_xll.BDH("AMZN US Equity","BS_CUR_LIAB","FQ3 2005","FQ3 2005","Currency=USD","Period=FQ","BEST_FPERIOD_OVERRIDE=FQ","FILING_STATUS=OR","SCALING_FORMAT=MLN","Sort=A","Dates=H","DateFormat=P","Fill=—","Direction=H","UseDPDF=Y")</f>
        <v>1313</v>
      </c>
      <c r="AD39" s="16">
        <f>_xll.BDH("AMZN US Equity","BS_CUR_LIAB","FQ4 2005","FQ4 2005","Currency=USD","Period=FQ","BEST_FPERIOD_OVERRIDE=FQ","FILING_STATUS=OR","SCALING_FORMAT=MLN","Sort=A","Dates=H","DateFormat=P","Fill=—","Direction=H","UseDPDF=Y")</f>
        <v>1929</v>
      </c>
      <c r="AE39" s="16">
        <f>_xll.BDH("AMZN US Equity","BS_CUR_LIAB","FQ1 2006","FQ1 2006","Currency=USD","Period=FQ","BEST_FPERIOD_OVERRIDE=FQ","FILING_STATUS=OR","SCALING_FORMAT=MLN","Sort=A","Dates=H","DateFormat=P","Fill=—","Direction=H","UseDPDF=Y")</f>
        <v>1407</v>
      </c>
      <c r="AF39" s="16">
        <f>_xll.BDH("AMZN US Equity","BS_CUR_LIAB","FQ2 2006","FQ2 2006","Currency=USD","Period=FQ","BEST_FPERIOD_OVERRIDE=FQ","FILING_STATUS=OR","SCALING_FORMAT=MLN","Sort=A","Dates=H","DateFormat=P","Fill=—","Direction=H","UseDPDF=Y")</f>
        <v>1458</v>
      </c>
      <c r="AG39" s="16">
        <f>_xll.BDH("AMZN US Equity","BS_CUR_LIAB","FQ3 2006","FQ3 2006","Currency=USD","Period=FQ","BEST_FPERIOD_OVERRIDE=FQ","FILING_STATUS=OR","SCALING_FORMAT=MLN","Sort=A","Dates=H","DateFormat=P","Fill=—","Direction=H","UseDPDF=Y")</f>
        <v>1768</v>
      </c>
      <c r="AH39" s="16">
        <f>_xll.BDH("AMZN US Equity","BS_CUR_LIAB","FQ4 2006","FQ4 2006","Currency=USD","Period=FQ","BEST_FPERIOD_OVERRIDE=FQ","FILING_STATUS=OR","SCALING_FORMAT=MLN","Sort=A","Dates=H","DateFormat=P","Fill=—","Direction=H","UseDPDF=Y")</f>
        <v>2532</v>
      </c>
      <c r="AI39" s="16">
        <f>_xll.BDH("AMZN US Equity","BS_CUR_LIAB","FQ1 2007","FQ1 2007","Currency=USD","Period=FQ","BEST_FPERIOD_OVERRIDE=FQ","FILING_STATUS=OR","SCALING_FORMAT=MLN","Sort=A","Dates=H","DateFormat=P","Fill=—","Direction=H","UseDPDF=Y")</f>
        <v>1847</v>
      </c>
      <c r="AJ39" s="16">
        <f>_xll.BDH("AMZN US Equity","BS_CUR_LIAB","FQ2 2007","FQ2 2007","Currency=USD","Period=FQ","BEST_FPERIOD_OVERRIDE=FQ","FILING_STATUS=OR","SCALING_FORMAT=MLN","Sort=A","Dates=H","DateFormat=P","Fill=—","Direction=H","UseDPDF=Y")</f>
        <v>1936</v>
      </c>
      <c r="AK39" s="16">
        <f>_xll.BDH("AMZN US Equity","BS_CUR_LIAB","FQ3 2007","FQ3 2007","Currency=USD","Period=FQ","BEST_FPERIOD_OVERRIDE=FQ","FILING_STATUS=OR","SCALING_FORMAT=MLN","Sort=A","Dates=H","DateFormat=P","Fill=—","Direction=H","UseDPDF=Y")</f>
        <v>2319</v>
      </c>
      <c r="AL39" s="16">
        <f>_xll.BDH("AMZN US Equity","BS_CUR_LIAB","FQ4 2007","FQ4 2007","Currency=USD","Period=FQ","BEST_FPERIOD_OVERRIDE=FQ","FILING_STATUS=OR","SCALING_FORMAT=MLN","Sort=A","Dates=H","DateFormat=P","Fill=—","Direction=H","UseDPDF=Y")</f>
        <v>3714</v>
      </c>
      <c r="AM39" s="16">
        <f>_xll.BDH("AMZN US Equity","BS_CUR_LIAB","FQ1 2008","FQ1 2008","Currency=USD","Period=FQ","BEST_FPERIOD_OVERRIDE=FQ","FILING_STATUS=OR","SCALING_FORMAT=MLN","Sort=A","Dates=H","DateFormat=P","Fill=—","Direction=H","UseDPDF=Y")</f>
        <v>3551</v>
      </c>
      <c r="AN39" s="16">
        <f>_xll.BDH("AMZN US Equity","BS_CUR_LIAB","FQ2 2008","FQ2 2008","Currency=USD","Period=FQ","BEST_FPERIOD_OVERRIDE=FQ","FILING_STATUS=OR","SCALING_FORMAT=MLN","Sort=A","Dates=H","DateFormat=P","Fill=—","Direction=H","UseDPDF=Y")</f>
        <v>3216</v>
      </c>
      <c r="AO39" s="16">
        <f>_xll.BDH("AMZN US Equity","BS_CUR_LIAB","FQ3 2008","FQ3 2008","Currency=USD","Period=FQ","BEST_FPERIOD_OVERRIDE=FQ","FILING_STATUS=OR","SCALING_FORMAT=MLN","Sort=A","Dates=H","DateFormat=P","Fill=—","Direction=H","UseDPDF=Y")</f>
        <v>3144</v>
      </c>
      <c r="AP39" s="16">
        <f>_xll.BDH("AMZN US Equity","BS_CUR_LIAB","FQ4 2008","FQ4 2008","Currency=USD","Period=FQ","BEST_FPERIOD_OVERRIDE=FQ","FILING_STATUS=OR","SCALING_FORMAT=MLN","Sort=A","Dates=H","DateFormat=P","Fill=—","Direction=H","UseDPDF=Y")</f>
        <v>4746</v>
      </c>
    </row>
    <row r="40" spans="1:42" x14ac:dyDescent="0.25">
      <c r="A40" s="10" t="s">
        <v>242</v>
      </c>
      <c r="B40" s="10" t="s">
        <v>243</v>
      </c>
      <c r="C40" s="13">
        <f>_xll.BDH("AMZN US Equity","BS_LT_BORROW","FQ4 1998","FQ4 1998","Currency=USD","Period=FQ","BEST_FPERIOD_OVERRIDE=FQ","FILING_STATUS=OR","SCALING_FORMAT=MLN","Sort=A","Dates=H","DateFormat=P","Fill=—","Direction=H","UseDPDF=Y")</f>
        <v>348.14</v>
      </c>
      <c r="D40" s="13">
        <f>_xll.BDH("AMZN US Equity","BS_LT_BORROW","FQ1 1999","FQ1 1999","Currency=USD","Period=FQ","BEST_FPERIOD_OVERRIDE=FQ","FILING_STATUS=OR","SCALING_FORMAT=MLN","Sort=A","Dates=H","DateFormat=P","Fill=—","Direction=H","UseDPDF=Y")</f>
        <v>1533.8621000000001</v>
      </c>
      <c r="E40" s="13">
        <f>_xll.BDH("AMZN US Equity","BS_LT_BORROW","FQ2 1999","FQ2 1999","Currency=USD","Period=FQ","BEST_FPERIOD_OVERRIDE=FQ","FILING_STATUS=OR","SCALING_FORMAT=MLN","Sort=A","Dates=H","DateFormat=P","Fill=—","Direction=H","UseDPDF=Y")</f>
        <v>1449.2239999999999</v>
      </c>
      <c r="F40" s="13">
        <f>_xll.BDH("AMZN US Equity","BS_LT_BORROW","FQ3 1999","FQ3 1999","Currency=USD","Period=FQ","BEST_FPERIOD_OVERRIDE=FQ","FILING_STATUS=OR","SCALING_FORMAT=MLN","Sort=A","Dates=H","DateFormat=P","Fill=—","Direction=H","UseDPDF=Y")</f>
        <v>1462.203</v>
      </c>
      <c r="G40" s="13">
        <f>_xll.BDH("AMZN US Equity","BS_LT_BORROW","FQ4 1999","FQ4 1999","Currency=USD","Period=FQ","BEST_FPERIOD_OVERRIDE=FQ","FILING_STATUS=OR","SCALING_FORMAT=MLN","Sort=A","Dates=H","DateFormat=P","Fill=—","Direction=H","UseDPDF=Y")</f>
        <v>1466.338</v>
      </c>
      <c r="H40" s="13">
        <f>_xll.BDH("AMZN US Equity","BS_LT_BORROW","FQ1 2000","FQ1 2000","Currency=USD","Period=FQ","BEST_FPERIOD_OVERRIDE=FQ","FILING_STATUS=OR","SCALING_FORMAT=MLN","Sort=A","Dates=H","DateFormat=P","Fill=—","Direction=H","UseDPDF=Y")</f>
        <v>2136.9609999999998</v>
      </c>
      <c r="I40" s="13">
        <f>_xll.BDH("AMZN US Equity","BS_LT_BORROW","FQ3 2000","FQ3 2000","Currency=USD","Period=FQ","BEST_FPERIOD_OVERRIDE=FQ","FILING_STATUS=OR","SCALING_FORMAT=MLN","Sort=A","Dates=H","DateFormat=P","Fill=—","Direction=H","UseDPDF=Y")</f>
        <v>2082.6970000000001</v>
      </c>
      <c r="J40" s="13">
        <f>_xll.BDH("AMZN US Equity","BS_LT_BORROW","FQ4 2000","FQ4 2000","Currency=USD","Period=FQ","BEST_FPERIOD_OVERRIDE=FQ","FILING_STATUS=OR","SCALING_FORMAT=MLN","Sort=A","Dates=H","DateFormat=P","Fill=—","Direction=H","UseDPDF=Y")</f>
        <v>2127.4641000000001</v>
      </c>
      <c r="K40" s="13">
        <f>_xll.BDH("AMZN US Equity","BS_LT_BORROW","FQ1 2001","FQ1 2001","Currency=USD","Period=FQ","BEST_FPERIOD_OVERRIDE=FQ","FILING_STATUS=OR","SCALING_FORMAT=MLN","Sort=A","Dates=H","DateFormat=P","Fill=—","Direction=H","UseDPDF=Y")</f>
        <v>2118.8560000000002</v>
      </c>
      <c r="L40" s="13">
        <f>_xll.BDH("AMZN US Equity","BS_LT_BORROW","FQ2 2001","FQ2 2001","Currency=USD","Period=FQ","BEST_FPERIOD_OVERRIDE=FQ","FILING_STATUS=OR","SCALING_FORMAT=MLN","Sort=A","Dates=H","DateFormat=P","Fill=—","Direction=H","UseDPDF=Y")</f>
        <v>2126.7271000000001</v>
      </c>
      <c r="M40" s="13">
        <f>_xll.BDH("AMZN US Equity","BS_LT_BORROW","FQ3 2001","FQ3 2001","Currency=USD","Period=FQ","BEST_FPERIOD_OVERRIDE=FQ","FILING_STATUS=OR","SCALING_FORMAT=MLN","Sort=A","Dates=H","DateFormat=P","Fill=—","Direction=H","UseDPDF=Y")</f>
        <v>2172.1640000000002</v>
      </c>
      <c r="N40" s="13">
        <f>_xll.BDH("AMZN US Equity","BS_LT_BORROW","FQ4 2001","FQ4 2001","Currency=USD","Period=FQ","BEST_FPERIOD_OVERRIDE=FQ","FILING_STATUS=OR","SCALING_FORMAT=MLN","Sort=A","Dates=H","DateFormat=P","Fill=—","Direction=H","UseDPDF=Y")</f>
        <v>2156.1331</v>
      </c>
      <c r="O40" s="13">
        <f>_xll.BDH("AMZN US Equity","BS_LT_BORROW","FQ1 2002","FQ1 2002","Currency=USD","Period=FQ","BEST_FPERIOD_OVERRIDE=FQ","FILING_STATUS=OR","SCALING_FORMAT=MLN","Sort=A","Dates=H","DateFormat=P","Fill=—","Direction=H","UseDPDF=Y")</f>
        <v>2152.2728999999999</v>
      </c>
      <c r="P40" s="13">
        <f>_xll.BDH("AMZN US Equity","BS_LT_BORROW","FQ2 2002","FQ2 2002","Currency=USD","Period=FQ","BEST_FPERIOD_OVERRIDE=FQ","FILING_STATUS=OR","SCALING_FORMAT=MLN","Sort=A","Dates=H","DateFormat=P","Fill=—","Direction=H","UseDPDF=Y")</f>
        <v>2218.4259999999999</v>
      </c>
      <c r="Q40" s="13">
        <f>_xll.BDH("AMZN US Equity","BS_LT_BORROW","FQ3 2002","FQ3 2002","Currency=USD","Period=FQ","BEST_FPERIOD_OVERRIDE=FQ","FILING_STATUS=OR","SCALING_FORMAT=MLN","Sort=A","Dates=H","DateFormat=P","Fill=—","Direction=H","UseDPDF=Y")</f>
        <v>2264.8458999999998</v>
      </c>
      <c r="R40" s="13">
        <f>_xll.BDH("AMZN US Equity","BS_LT_BORROW","FQ4 2002","FQ4 2002","Currency=USD","Period=FQ","BEST_FPERIOD_OVERRIDE=FQ","FILING_STATUS=OR","SCALING_FORMAT=MLN","Sort=A","Dates=H","DateFormat=P","Fill=—","Direction=H","UseDPDF=Y")</f>
        <v>2277.3049000000001</v>
      </c>
      <c r="S40" s="13">
        <f>_xll.BDH("AMZN US Equity","BS_LT_BORROW","FQ1 2003","FQ1 2003","Currency=USD","Period=FQ","BEST_FPERIOD_OVERRIDE=FQ","FILING_STATUS=OR","SCALING_FORMAT=MLN","Sort=A","Dates=H","DateFormat=P","Fill=—","Direction=H","UseDPDF=Y")</f>
        <v>2296.4180000000001</v>
      </c>
      <c r="T40" s="13">
        <f>_xll.BDH("AMZN US Equity","BS_LT_BORROW","FQ2 2003","FQ2 2003","Currency=USD","Period=FQ","BEST_FPERIOD_OVERRIDE=FQ","FILING_STATUS=OR","SCALING_FORMAT=MLN","Sort=A","Dates=H","DateFormat=P","Fill=—","Direction=H","UseDPDF=Y")</f>
        <v>2074.3058999999998</v>
      </c>
      <c r="U40" s="13">
        <f>_xll.BDH("AMZN US Equity","BS_LT_BORROW","FQ3 2003","FQ3 2003","Currency=USD","Period=FQ","BEST_FPERIOD_OVERRIDE=FQ","FILING_STATUS=OR","SCALING_FORMAT=MLN","Sort=A","Dates=H","DateFormat=P","Fill=—","Direction=H","UseDPDF=Y")</f>
        <v>2080.9690000000001</v>
      </c>
      <c r="V40" s="13">
        <f>_xll.BDH("AMZN US Equity","BS_LT_BORROW","FQ4 2003","FQ4 2003","Currency=USD","Period=FQ","BEST_FPERIOD_OVERRIDE=FQ","FILING_STATUS=OR","SCALING_FORMAT=MLN","Sort=A","Dates=H","DateFormat=P","Fill=—","Direction=H","UseDPDF=Y")</f>
        <v>1945.4390000000001</v>
      </c>
      <c r="W40" s="13">
        <f>_xll.BDH("AMZN US Equity","BS_LT_BORROW","FQ1 2004","FQ1 2004","Currency=USD","Period=FQ","BEST_FPERIOD_OVERRIDE=FQ","FILING_STATUS=OR","SCALING_FORMAT=MLN","Sort=A","Dates=H","DateFormat=P","Fill=—","Direction=H","UseDPDF=Y")</f>
        <v>1777.7</v>
      </c>
      <c r="X40" s="13">
        <f>_xll.BDH("AMZN US Equity","BS_LT_BORROW","FQ2 2004","FQ2 2004","Currency=USD","Period=FQ","BEST_FPERIOD_OVERRIDE=FQ","FILING_STATUS=OR","SCALING_FORMAT=MLN","Sort=A","Dates=H","DateFormat=P","Fill=—","Direction=H","UseDPDF=Y")</f>
        <v>1762.614</v>
      </c>
      <c r="Y40" s="13">
        <f>_xll.BDH("AMZN US Equity","BS_LT_BORROW","FQ3 2004","FQ3 2004","Currency=USD","Period=FQ","BEST_FPERIOD_OVERRIDE=FQ","FILING_STATUS=OR","SCALING_FORMAT=MLN","Sort=A","Dates=H","DateFormat=P","Fill=—","Direction=H","UseDPDF=Y")</f>
        <v>1778.722</v>
      </c>
      <c r="Z40" s="13">
        <f>_xll.BDH("AMZN US Equity","BS_LT_BORROW","FQ4 2004","FQ4 2004","Currency=USD","Period=FQ","BEST_FPERIOD_OVERRIDE=FQ","FILING_STATUS=OR","SCALING_FORMAT=MLN","Sort=A","Dates=H","DateFormat=P","Fill=—","Direction=H","UseDPDF=Y")</f>
        <v>1855.319</v>
      </c>
      <c r="AA40" s="13">
        <f>_xll.BDH("AMZN US Equity","BS_LT_BORROW","FQ1 2005","FQ1 2005","Currency=USD","Period=FQ","BEST_FPERIOD_OVERRIDE=FQ","FILING_STATUS=OR","SCALING_FORMAT=MLN","Sort=A","Dates=H","DateFormat=P","Fill=—","Direction=H","UseDPDF=Y")</f>
        <v>1561</v>
      </c>
      <c r="AB40" s="13">
        <f>_xll.BDH("AMZN US Equity","BS_LT_BORROW","FQ2 2005","FQ2 2005","Currency=USD","Period=FQ","BEST_FPERIOD_OVERRIDE=FQ","FILING_STATUS=OR","SCALING_FORMAT=MLN","Sort=A","Dates=H","DateFormat=P","Fill=—","Direction=H","UseDPDF=Y")</f>
        <v>1521</v>
      </c>
      <c r="AC40" s="13">
        <f>_xll.BDH("AMZN US Equity","BS_LT_BORROW","FQ3 2005","FQ3 2005","Currency=USD","Period=FQ","BEST_FPERIOD_OVERRIDE=FQ","FILING_STATUS=OR","SCALING_FORMAT=MLN","Sort=A","Dates=H","DateFormat=P","Fill=—","Direction=H","UseDPDF=Y")</f>
        <v>1513</v>
      </c>
      <c r="AD40" s="13">
        <f>_xll.BDH("AMZN US Equity","BS_LT_BORROW","FQ4 2005","FQ4 2005","Currency=USD","Period=FQ","BEST_FPERIOD_OVERRIDE=FQ","FILING_STATUS=OR","SCALING_FORMAT=MLN","Sort=A","Dates=H","DateFormat=P","Fill=—","Direction=H","UseDPDF=Y")</f>
        <v>1521</v>
      </c>
      <c r="AE40" s="13">
        <f>_xll.BDH("AMZN US Equity","BS_LT_BORROW","FQ1 2006","FQ1 2006","Currency=USD","Period=FQ","BEST_FPERIOD_OVERRIDE=FQ","FILING_STATUS=OR","SCALING_FORMAT=MLN","Sort=A","Dates=H","DateFormat=P","Fill=—","Direction=H","UseDPDF=Y")</f>
        <v>1259</v>
      </c>
      <c r="AF40" s="13">
        <f>_xll.BDH("AMZN US Equity","BS_LT_BORROW","FQ2 2006","FQ2 2006","Currency=USD","Period=FQ","BEST_FPERIOD_OVERRIDE=FQ","FILING_STATUS=OR","SCALING_FORMAT=MLN","Sort=A","Dates=H","DateFormat=P","Fill=—","Direction=H","UseDPDF=Y")</f>
        <v>1324</v>
      </c>
      <c r="AG40" s="13">
        <f>_xll.BDH("AMZN US Equity","BS_LT_BORROW","FQ3 2006","FQ3 2006","Currency=USD","Period=FQ","BEST_FPERIOD_OVERRIDE=FQ","FILING_STATUS=OR","SCALING_FORMAT=MLN","Sort=A","Dates=H","DateFormat=P","Fill=—","Direction=H","UseDPDF=Y")</f>
        <v>1304</v>
      </c>
      <c r="AH40" s="13">
        <f>_xll.BDH("AMZN US Equity","BS_LT_BORROW","FQ4 2006","FQ4 2006","Currency=USD","Period=FQ","BEST_FPERIOD_OVERRIDE=FQ","FILING_STATUS=OR","SCALING_FORMAT=MLN","Sort=A","Dates=H","DateFormat=P","Fill=—","Direction=H","UseDPDF=Y")</f>
        <v>1247</v>
      </c>
      <c r="AI40" s="13">
        <f>_xll.BDH("AMZN US Equity","BS_LT_BORROW","FQ1 2007","FQ1 2007","Currency=USD","Period=FQ","BEST_FPERIOD_OVERRIDE=FQ","FILING_STATUS=OR","SCALING_FORMAT=MLN","Sort=A","Dates=H","DateFormat=P","Fill=—","Direction=H","UseDPDF=Y")</f>
        <v>1251</v>
      </c>
      <c r="AJ40" s="13">
        <f>_xll.BDH("AMZN US Equity","BS_LT_BORROW","FQ2 2007","FQ2 2007","Currency=USD","Period=FQ","BEST_FPERIOD_OVERRIDE=FQ","FILING_STATUS=OR","SCALING_FORMAT=MLN","Sort=A","Dates=H","DateFormat=P","Fill=—","Direction=H","UseDPDF=Y")</f>
        <v>1256</v>
      </c>
      <c r="AK40" s="13">
        <f>_xll.BDH("AMZN US Equity","BS_LT_BORROW","FQ3 2007","FQ3 2007","Currency=USD","Period=FQ","BEST_FPERIOD_OVERRIDE=FQ","FILING_STATUS=OR","SCALING_FORMAT=MLN","Sort=A","Dates=H","DateFormat=P","Fill=—","Direction=H","UseDPDF=Y")</f>
        <v>1273</v>
      </c>
      <c r="AL40" s="13">
        <f>_xll.BDH("AMZN US Equity","BS_LT_BORROW","FQ4 2007","FQ4 2007","Currency=USD","Period=FQ","BEST_FPERIOD_OVERRIDE=FQ","FILING_STATUS=OR","SCALING_FORMAT=MLN","Sort=A","Dates=H","DateFormat=P","Fill=—","Direction=H","UseDPDF=Y")</f>
        <v>1282</v>
      </c>
      <c r="AM40" s="13">
        <f>_xll.BDH("AMZN US Equity","BS_LT_BORROW","FQ1 2008","FQ1 2008","Currency=USD","Period=FQ","BEST_FPERIOD_OVERRIDE=FQ","FILING_STATUS=OR","SCALING_FORMAT=MLN","Sort=A","Dates=H","DateFormat=P","Fill=—","Direction=H","UseDPDF=Y")</f>
        <v>467</v>
      </c>
      <c r="AN40" s="13">
        <f>_xll.BDH("AMZN US Equity","BS_LT_BORROW","FQ2 2008","FQ2 2008","Currency=USD","Period=FQ","BEST_FPERIOD_OVERRIDE=FQ","FILING_STATUS=OR","SCALING_FORMAT=MLN","Sort=A","Dates=H","DateFormat=P","Fill=—","Direction=H","UseDPDF=Y")</f>
        <v>433</v>
      </c>
      <c r="AO40" s="13">
        <f>_xll.BDH("AMZN US Equity","BS_LT_BORROW","FQ3 2008","FQ3 2008","Currency=USD","Period=FQ","BEST_FPERIOD_OVERRIDE=FQ","FILING_STATUS=OR","SCALING_FORMAT=MLN","Sort=A","Dates=H","DateFormat=P","Fill=—","Direction=H","UseDPDF=Y")</f>
        <v>393</v>
      </c>
      <c r="AP40" s="13">
        <f>_xll.BDH("AMZN US Equity","BS_LT_BORROW","FQ4 2008","FQ4 2008","Currency=USD","Period=FQ","BEST_FPERIOD_OVERRIDE=FQ","FILING_STATUS=OR","SCALING_FORMAT=MLN","Sort=A","Dates=H","DateFormat=P","Fill=—","Direction=H","UseDPDF=Y")</f>
        <v>533</v>
      </c>
    </row>
    <row r="41" spans="1:42" x14ac:dyDescent="0.25">
      <c r="A41" s="10" t="s">
        <v>244</v>
      </c>
      <c r="B41" s="10" t="s">
        <v>245</v>
      </c>
      <c r="C41" s="13" t="str">
        <f>_xll.BDH("AMZN US Equity","LONG_TERM_BORROWINGS_DETAILED","FQ4 1998","FQ4 1998","Currency=USD","Period=FQ","BEST_FPERIOD_OVERRIDE=FQ","FILING_STATUS=OR","SCALING_FORMAT=MLN","Sort=A","Dates=H","DateFormat=P","Fill=—","Direction=H","UseDPDF=Y")</f>
        <v>—</v>
      </c>
      <c r="D41" s="13" t="str">
        <f>_xll.BDH("AMZN US Equity","LONG_TERM_BORROWINGS_DETAILED","FQ1 1999","FQ1 1999","Currency=USD","Period=FQ","BEST_FPERIOD_OVERRIDE=FQ","FILING_STATUS=OR","SCALING_FORMAT=MLN","Sort=A","Dates=H","DateFormat=P","Fill=—","Direction=H","UseDPDF=Y")</f>
        <v>—</v>
      </c>
      <c r="E41" s="13" t="str">
        <f>_xll.BDH("AMZN US Equity","LONG_TERM_BORROWINGS_DETAILED","FQ2 1999","FQ2 1999","Currency=USD","Period=FQ","BEST_FPERIOD_OVERRIDE=FQ","FILING_STATUS=OR","SCALING_FORMAT=MLN","Sort=A","Dates=H","DateFormat=P","Fill=—","Direction=H","UseDPDF=Y")</f>
        <v>—</v>
      </c>
      <c r="F41" s="13" t="str">
        <f>_xll.BDH("AMZN US Equity","LONG_TERM_BORROWINGS_DETAILED","FQ3 1999","FQ3 1999","Currency=USD","Period=FQ","BEST_FPERIOD_OVERRIDE=FQ","FILING_STATUS=OR","SCALING_FORMAT=MLN","Sort=A","Dates=H","DateFormat=P","Fill=—","Direction=H","UseDPDF=Y")</f>
        <v>—</v>
      </c>
      <c r="G41" s="13" t="str">
        <f>_xll.BDH("AMZN US Equity","LONG_TERM_BORROWINGS_DETAILED","FQ4 1999","FQ4 1999","Currency=USD","Period=FQ","BEST_FPERIOD_OVERRIDE=FQ","FILING_STATUS=OR","SCALING_FORMAT=MLN","Sort=A","Dates=H","DateFormat=P","Fill=—","Direction=H","UseDPDF=Y")</f>
        <v>—</v>
      </c>
      <c r="H41" s="13" t="str">
        <f>_xll.BDH("AMZN US Equity","LONG_TERM_BORROWINGS_DETAILED","FQ1 2000","FQ1 2000","Currency=USD","Period=FQ","BEST_FPERIOD_OVERRIDE=FQ","FILING_STATUS=OR","SCALING_FORMAT=MLN","Sort=A","Dates=H","DateFormat=P","Fill=—","Direction=H","UseDPDF=Y")</f>
        <v>—</v>
      </c>
      <c r="I41" s="13" t="str">
        <f>_xll.BDH("AMZN US Equity","LONG_TERM_BORROWINGS_DETAILED","FQ3 2000","FQ3 2000","Currency=USD","Period=FQ","BEST_FPERIOD_OVERRIDE=FQ","FILING_STATUS=OR","SCALING_FORMAT=MLN","Sort=A","Dates=H","DateFormat=P","Fill=—","Direction=H","UseDPDF=Y")</f>
        <v>—</v>
      </c>
      <c r="J41" s="13" t="str">
        <f>_xll.BDH("AMZN US Equity","LONG_TERM_BORROWINGS_DETAILED","FQ4 2000","FQ4 2000","Currency=USD","Period=FQ","BEST_FPERIOD_OVERRIDE=FQ","FILING_STATUS=OR","SCALING_FORMAT=MLN","Sort=A","Dates=H","DateFormat=P","Fill=—","Direction=H","UseDPDF=Y")</f>
        <v>—</v>
      </c>
      <c r="K41" s="13" t="str">
        <f>_xll.BDH("AMZN US Equity","LONG_TERM_BORROWINGS_DETAILED","FQ1 2001","FQ1 2001","Currency=USD","Period=FQ","BEST_FPERIOD_OVERRIDE=FQ","FILING_STATUS=OR","SCALING_FORMAT=MLN","Sort=A","Dates=H","DateFormat=P","Fill=—","Direction=H","UseDPDF=Y")</f>
        <v>—</v>
      </c>
      <c r="L41" s="13" t="str">
        <f>_xll.BDH("AMZN US Equity","LONG_TERM_BORROWINGS_DETAILED","FQ2 2001","FQ2 2001","Currency=USD","Period=FQ","BEST_FPERIOD_OVERRIDE=FQ","FILING_STATUS=OR","SCALING_FORMAT=MLN","Sort=A","Dates=H","DateFormat=P","Fill=—","Direction=H","UseDPDF=Y")</f>
        <v>—</v>
      </c>
      <c r="M41" s="13" t="str">
        <f>_xll.BDH("AMZN US Equity","LONG_TERM_BORROWINGS_DETAILED","FQ3 2001","FQ3 2001","Currency=USD","Period=FQ","BEST_FPERIOD_OVERRIDE=FQ","FILING_STATUS=OR","SCALING_FORMAT=MLN","Sort=A","Dates=H","DateFormat=P","Fill=—","Direction=H","UseDPDF=Y")</f>
        <v>—</v>
      </c>
      <c r="N41" s="13" t="str">
        <f>_xll.BDH("AMZN US Equity","LONG_TERM_BORROWINGS_DETAILED","FQ4 2001","FQ4 2001","Currency=USD","Period=FQ","BEST_FPERIOD_OVERRIDE=FQ","FILING_STATUS=OR","SCALING_FORMAT=MLN","Sort=A","Dates=H","DateFormat=P","Fill=—","Direction=H","UseDPDF=Y")</f>
        <v>—</v>
      </c>
      <c r="O41" s="13" t="str">
        <f>_xll.BDH("AMZN US Equity","LONG_TERM_BORROWINGS_DETAILED","FQ1 2002","FQ1 2002","Currency=USD","Period=FQ","BEST_FPERIOD_OVERRIDE=FQ","FILING_STATUS=OR","SCALING_FORMAT=MLN","Sort=A","Dates=H","DateFormat=P","Fill=—","Direction=H","UseDPDF=Y")</f>
        <v>—</v>
      </c>
      <c r="P41" s="13" t="str">
        <f>_xll.BDH("AMZN US Equity","LONG_TERM_BORROWINGS_DETAILED","FQ2 2002","FQ2 2002","Currency=USD","Period=FQ","BEST_FPERIOD_OVERRIDE=FQ","FILING_STATUS=OR","SCALING_FORMAT=MLN","Sort=A","Dates=H","DateFormat=P","Fill=—","Direction=H","UseDPDF=Y")</f>
        <v>—</v>
      </c>
      <c r="Q41" s="13" t="str">
        <f>_xll.BDH("AMZN US Equity","LONG_TERM_BORROWINGS_DETAILED","FQ3 2002","FQ3 2002","Currency=USD","Period=FQ","BEST_FPERIOD_OVERRIDE=FQ","FILING_STATUS=OR","SCALING_FORMAT=MLN","Sort=A","Dates=H","DateFormat=P","Fill=—","Direction=H","UseDPDF=Y")</f>
        <v>—</v>
      </c>
      <c r="R41" s="13" t="str">
        <f>_xll.BDH("AMZN US Equity","LONG_TERM_BORROWINGS_DETAILED","FQ4 2002","FQ4 2002","Currency=USD","Period=FQ","BEST_FPERIOD_OVERRIDE=FQ","FILING_STATUS=OR","SCALING_FORMAT=MLN","Sort=A","Dates=H","DateFormat=P","Fill=—","Direction=H","UseDPDF=Y")</f>
        <v>—</v>
      </c>
      <c r="S41" s="13" t="str">
        <f>_xll.BDH("AMZN US Equity","LONG_TERM_BORROWINGS_DETAILED","FQ1 2003","FQ1 2003","Currency=USD","Period=FQ","BEST_FPERIOD_OVERRIDE=FQ","FILING_STATUS=OR","SCALING_FORMAT=MLN","Sort=A","Dates=H","DateFormat=P","Fill=—","Direction=H","UseDPDF=Y")</f>
        <v>—</v>
      </c>
      <c r="T41" s="13" t="str">
        <f>_xll.BDH("AMZN US Equity","LONG_TERM_BORROWINGS_DETAILED","FQ2 2003","FQ2 2003","Currency=USD","Period=FQ","BEST_FPERIOD_OVERRIDE=FQ","FILING_STATUS=OR","SCALING_FORMAT=MLN","Sort=A","Dates=H","DateFormat=P","Fill=—","Direction=H","UseDPDF=Y")</f>
        <v>—</v>
      </c>
      <c r="U41" s="13" t="str">
        <f>_xll.BDH("AMZN US Equity","LONG_TERM_BORROWINGS_DETAILED","FQ3 2003","FQ3 2003","Currency=USD","Period=FQ","BEST_FPERIOD_OVERRIDE=FQ","FILING_STATUS=OR","SCALING_FORMAT=MLN","Sort=A","Dates=H","DateFormat=P","Fill=—","Direction=H","UseDPDF=Y")</f>
        <v>—</v>
      </c>
      <c r="V41" s="13" t="str">
        <f>_xll.BDH("AMZN US Equity","LONG_TERM_BORROWINGS_DETAILED","FQ4 2003","FQ4 2003","Currency=USD","Period=FQ","BEST_FPERIOD_OVERRIDE=FQ","FILING_STATUS=OR","SCALING_FORMAT=MLN","Sort=A","Dates=H","DateFormat=P","Fill=—","Direction=H","UseDPDF=Y")</f>
        <v>—</v>
      </c>
      <c r="W41" s="13" t="str">
        <f>_xll.BDH("AMZN US Equity","LONG_TERM_BORROWINGS_DETAILED","FQ1 2004","FQ1 2004","Currency=USD","Period=FQ","BEST_FPERIOD_OVERRIDE=FQ","FILING_STATUS=OR","SCALING_FORMAT=MLN","Sort=A","Dates=H","DateFormat=P","Fill=—","Direction=H","UseDPDF=Y")</f>
        <v>—</v>
      </c>
      <c r="X41" s="13" t="str">
        <f>_xll.BDH("AMZN US Equity","LONG_TERM_BORROWINGS_DETAILED","FQ2 2004","FQ2 2004","Currency=USD","Period=FQ","BEST_FPERIOD_OVERRIDE=FQ","FILING_STATUS=OR","SCALING_FORMAT=MLN","Sort=A","Dates=H","DateFormat=P","Fill=—","Direction=H","UseDPDF=Y")</f>
        <v>—</v>
      </c>
      <c r="Y41" s="13" t="str">
        <f>_xll.BDH("AMZN US Equity","LONG_TERM_BORROWINGS_DETAILED","FQ3 2004","FQ3 2004","Currency=USD","Period=FQ","BEST_FPERIOD_OVERRIDE=FQ","FILING_STATUS=OR","SCALING_FORMAT=MLN","Sort=A","Dates=H","DateFormat=P","Fill=—","Direction=H","UseDPDF=Y")</f>
        <v>—</v>
      </c>
      <c r="Z41" s="13">
        <f>_xll.BDH("AMZN US Equity","LONG_TERM_BORROWINGS_DETAILED","FQ4 2004","FQ4 2004","Currency=USD","Period=FQ","BEST_FPERIOD_OVERRIDE=FQ","FILING_STATUS=OR","SCALING_FORMAT=MLN","Sort=A","Dates=H","DateFormat=P","Fill=—","Direction=H","UseDPDF=Y")</f>
        <v>1854.8040000000001</v>
      </c>
      <c r="AA41" s="13">
        <f>_xll.BDH("AMZN US Equity","LONG_TERM_BORROWINGS_DETAILED","FQ1 2005","FQ1 2005","Currency=USD","Period=FQ","BEST_FPERIOD_OVERRIDE=FQ","FILING_STATUS=OR","SCALING_FORMAT=MLN","Sort=A","Dates=H","DateFormat=P","Fill=—","Direction=H","UseDPDF=Y")</f>
        <v>1560.3</v>
      </c>
      <c r="AB41" s="13">
        <f>_xll.BDH("AMZN US Equity","LONG_TERM_BORROWINGS_DETAILED","FQ2 2005","FQ2 2005","Currency=USD","Period=FQ","BEST_FPERIOD_OVERRIDE=FQ","FILING_STATUS=OR","SCALING_FORMAT=MLN","Sort=A","Dates=H","DateFormat=P","Fill=—","Direction=H","UseDPDF=Y")</f>
        <v>1520.4</v>
      </c>
      <c r="AC41" s="13">
        <f>_xll.BDH("AMZN US Equity","LONG_TERM_BORROWINGS_DETAILED","FQ3 2005","FQ3 2005","Currency=USD","Period=FQ","BEST_FPERIOD_OVERRIDE=FQ","FILING_STATUS=OR","SCALING_FORMAT=MLN","Sort=A","Dates=H","DateFormat=P","Fill=—","Direction=H","UseDPDF=Y")</f>
        <v>1512.3</v>
      </c>
      <c r="AD41" s="13">
        <f>_xll.BDH("AMZN US Equity","LONG_TERM_BORROWINGS_DETAILED","FQ4 2005","FQ4 2005","Currency=USD","Period=FQ","BEST_FPERIOD_OVERRIDE=FQ","FILING_STATUS=OR","SCALING_FORMAT=MLN","Sort=A","Dates=H","DateFormat=P","Fill=—","Direction=H","UseDPDF=Y")</f>
        <v>1516</v>
      </c>
      <c r="AE41" s="13" t="str">
        <f>_xll.BDH("AMZN US Equity","LONG_TERM_BORROWINGS_DETAILED","FQ1 2006","FQ1 2006","Currency=USD","Period=FQ","BEST_FPERIOD_OVERRIDE=FQ","FILING_STATUS=OR","SCALING_FORMAT=MLN","Sort=A","Dates=H","DateFormat=P","Fill=—","Direction=H","UseDPDF=Y")</f>
        <v>—</v>
      </c>
      <c r="AF41" s="13" t="str">
        <f>_xll.BDH("AMZN US Equity","LONG_TERM_BORROWINGS_DETAILED","FQ2 2006","FQ2 2006","Currency=USD","Period=FQ","BEST_FPERIOD_OVERRIDE=FQ","FILING_STATUS=OR","SCALING_FORMAT=MLN","Sort=A","Dates=H","DateFormat=P","Fill=—","Direction=H","UseDPDF=Y")</f>
        <v>—</v>
      </c>
      <c r="AG41" s="13" t="str">
        <f>_xll.BDH("AMZN US Equity","LONG_TERM_BORROWINGS_DETAILED","FQ3 2006","FQ3 2006","Currency=USD","Period=FQ","BEST_FPERIOD_OVERRIDE=FQ","FILING_STATUS=OR","SCALING_FORMAT=MLN","Sort=A","Dates=H","DateFormat=P","Fill=—","Direction=H","UseDPDF=Y")</f>
        <v>—</v>
      </c>
      <c r="AH41" s="13">
        <f>_xll.BDH("AMZN US Equity","LONG_TERM_BORROWINGS_DETAILED","FQ4 2006","FQ4 2006","Currency=USD","Period=FQ","BEST_FPERIOD_OVERRIDE=FQ","FILING_STATUS=OR","SCALING_FORMAT=MLN","Sort=A","Dates=H","DateFormat=P","Fill=—","Direction=H","UseDPDF=Y")</f>
        <v>1227</v>
      </c>
      <c r="AI41" s="13" t="str">
        <f>_xll.BDH("AMZN US Equity","LONG_TERM_BORROWINGS_DETAILED","FQ1 2007","FQ1 2007","Currency=USD","Period=FQ","BEST_FPERIOD_OVERRIDE=FQ","FILING_STATUS=OR","SCALING_FORMAT=MLN","Sort=A","Dates=H","DateFormat=P","Fill=—","Direction=H","UseDPDF=Y")</f>
        <v>—</v>
      </c>
      <c r="AJ41" s="13" t="str">
        <f>_xll.BDH("AMZN US Equity","LONG_TERM_BORROWINGS_DETAILED","FQ2 2007","FQ2 2007","Currency=USD","Period=FQ","BEST_FPERIOD_OVERRIDE=FQ","FILING_STATUS=OR","SCALING_FORMAT=MLN","Sort=A","Dates=H","DateFormat=P","Fill=—","Direction=H","UseDPDF=Y")</f>
        <v>—</v>
      </c>
      <c r="AK41" s="13" t="str">
        <f>_xll.BDH("AMZN US Equity","LONG_TERM_BORROWINGS_DETAILED","FQ3 2007","FQ3 2007","Currency=USD","Period=FQ","BEST_FPERIOD_OVERRIDE=FQ","FILING_STATUS=OR","SCALING_FORMAT=MLN","Sort=A","Dates=H","DateFormat=P","Fill=—","Direction=H","UseDPDF=Y")</f>
        <v>—</v>
      </c>
      <c r="AL41" s="13">
        <f>_xll.BDH("AMZN US Equity","LONG_TERM_BORROWINGS_DETAILED","FQ4 2007","FQ4 2007","Currency=USD","Period=FQ","BEST_FPERIOD_OVERRIDE=FQ","FILING_STATUS=OR","SCALING_FORMAT=MLN","Sort=A","Dates=H","DateFormat=P","Fill=—","Direction=H","UseDPDF=Y")</f>
        <v>1220</v>
      </c>
      <c r="AM41" s="13" t="str">
        <f>_xll.BDH("AMZN US Equity","LONG_TERM_BORROWINGS_DETAILED","FQ1 2008","FQ1 2008","Currency=USD","Period=FQ","BEST_FPERIOD_OVERRIDE=FQ","FILING_STATUS=OR","SCALING_FORMAT=MLN","Sort=A","Dates=H","DateFormat=P","Fill=—","Direction=H","UseDPDF=Y")</f>
        <v>—</v>
      </c>
      <c r="AN41" s="13" t="str">
        <f>_xll.BDH("AMZN US Equity","LONG_TERM_BORROWINGS_DETAILED","FQ2 2008","FQ2 2008","Currency=USD","Period=FQ","BEST_FPERIOD_OVERRIDE=FQ","FILING_STATUS=OR","SCALING_FORMAT=MLN","Sort=A","Dates=H","DateFormat=P","Fill=—","Direction=H","UseDPDF=Y")</f>
        <v>—</v>
      </c>
      <c r="AO41" s="13" t="str">
        <f>_xll.BDH("AMZN US Equity","LONG_TERM_BORROWINGS_DETAILED","FQ3 2008","FQ3 2008","Currency=USD","Period=FQ","BEST_FPERIOD_OVERRIDE=FQ","FILING_STATUS=OR","SCALING_FORMAT=MLN","Sort=A","Dates=H","DateFormat=P","Fill=—","Direction=H","UseDPDF=Y")</f>
        <v>—</v>
      </c>
      <c r="AP41" s="13">
        <f>_xll.BDH("AMZN US Equity","LONG_TERM_BORROWINGS_DETAILED","FQ4 2008","FQ4 2008","Currency=USD","Period=FQ","BEST_FPERIOD_OVERRIDE=FQ","FILING_STATUS=OR","SCALING_FORMAT=MLN","Sort=A","Dates=H","DateFormat=P","Fill=—","Direction=H","UseDPDF=Y")</f>
        <v>409</v>
      </c>
    </row>
    <row r="42" spans="1:42" x14ac:dyDescent="0.25">
      <c r="A42" s="10" t="s">
        <v>246</v>
      </c>
      <c r="B42" s="10" t="s">
        <v>247</v>
      </c>
      <c r="C42" s="13" t="str">
        <f>_xll.BDH("AMZN US Equity","LT_CAPITAL_LEASE_OBLIGATIONS","FQ4 1998","FQ4 1998","Currency=USD","Period=FQ","BEST_FPERIOD_OVERRIDE=FQ","FILING_STATUS=OR","SCALING_FORMAT=MLN","Sort=A","Dates=H","DateFormat=P","Fill=—","Direction=H","UseDPDF=Y")</f>
        <v>—</v>
      </c>
      <c r="D42" s="13" t="str">
        <f>_xll.BDH("AMZN US Equity","LT_CAPITAL_LEASE_OBLIGATIONS","FQ1 1999","FQ1 1999","Currency=USD","Period=FQ","BEST_FPERIOD_OVERRIDE=FQ","FILING_STATUS=OR","SCALING_FORMAT=MLN","Sort=A","Dates=H","DateFormat=P","Fill=—","Direction=H","UseDPDF=Y")</f>
        <v>—</v>
      </c>
      <c r="E42" s="13" t="str">
        <f>_xll.BDH("AMZN US Equity","LT_CAPITAL_LEASE_OBLIGATIONS","FQ2 1999","FQ2 1999","Currency=USD","Period=FQ","BEST_FPERIOD_OVERRIDE=FQ","FILING_STATUS=OR","SCALING_FORMAT=MLN","Sort=A","Dates=H","DateFormat=P","Fill=—","Direction=H","UseDPDF=Y")</f>
        <v>—</v>
      </c>
      <c r="F42" s="13" t="str">
        <f>_xll.BDH("AMZN US Equity","LT_CAPITAL_LEASE_OBLIGATIONS","FQ3 1999","FQ3 1999","Currency=USD","Period=FQ","BEST_FPERIOD_OVERRIDE=FQ","FILING_STATUS=OR","SCALING_FORMAT=MLN","Sort=A","Dates=H","DateFormat=P","Fill=—","Direction=H","UseDPDF=Y")</f>
        <v>—</v>
      </c>
      <c r="G42" s="13" t="str">
        <f>_xll.BDH("AMZN US Equity","LT_CAPITAL_LEASE_OBLIGATIONS","FQ4 1999","FQ4 1999","Currency=USD","Period=FQ","BEST_FPERIOD_OVERRIDE=FQ","FILING_STATUS=OR","SCALING_FORMAT=MLN","Sort=A","Dates=H","DateFormat=P","Fill=—","Direction=H","UseDPDF=Y")</f>
        <v>—</v>
      </c>
      <c r="H42" s="13" t="str">
        <f>_xll.BDH("AMZN US Equity","LT_CAPITAL_LEASE_OBLIGATIONS","FQ1 2000","FQ1 2000","Currency=USD","Period=FQ","BEST_FPERIOD_OVERRIDE=FQ","FILING_STATUS=OR","SCALING_FORMAT=MLN","Sort=A","Dates=H","DateFormat=P","Fill=—","Direction=H","UseDPDF=Y")</f>
        <v>—</v>
      </c>
      <c r="I42" s="13" t="str">
        <f>_xll.BDH("AMZN US Equity","LT_CAPITAL_LEASE_OBLIGATIONS","FQ3 2000","FQ3 2000","Currency=USD","Period=FQ","BEST_FPERIOD_OVERRIDE=FQ","FILING_STATUS=OR","SCALING_FORMAT=MLN","Sort=A","Dates=H","DateFormat=P","Fill=—","Direction=H","UseDPDF=Y")</f>
        <v>—</v>
      </c>
      <c r="J42" s="13" t="str">
        <f>_xll.BDH("AMZN US Equity","LT_CAPITAL_LEASE_OBLIGATIONS","FQ4 2000","FQ4 2000","Currency=USD","Period=FQ","BEST_FPERIOD_OVERRIDE=FQ","FILING_STATUS=OR","SCALING_FORMAT=MLN","Sort=A","Dates=H","DateFormat=P","Fill=—","Direction=H","UseDPDF=Y")</f>
        <v>—</v>
      </c>
      <c r="K42" s="13" t="str">
        <f>_xll.BDH("AMZN US Equity","LT_CAPITAL_LEASE_OBLIGATIONS","FQ1 2001","FQ1 2001","Currency=USD","Period=FQ","BEST_FPERIOD_OVERRIDE=FQ","FILING_STATUS=OR","SCALING_FORMAT=MLN","Sort=A","Dates=H","DateFormat=P","Fill=—","Direction=H","UseDPDF=Y")</f>
        <v>—</v>
      </c>
      <c r="L42" s="13" t="str">
        <f>_xll.BDH("AMZN US Equity","LT_CAPITAL_LEASE_OBLIGATIONS","FQ2 2001","FQ2 2001","Currency=USD","Period=FQ","BEST_FPERIOD_OVERRIDE=FQ","FILING_STATUS=OR","SCALING_FORMAT=MLN","Sort=A","Dates=H","DateFormat=P","Fill=—","Direction=H","UseDPDF=Y")</f>
        <v>—</v>
      </c>
      <c r="M42" s="13" t="str">
        <f>_xll.BDH("AMZN US Equity","LT_CAPITAL_LEASE_OBLIGATIONS","FQ3 2001","FQ3 2001","Currency=USD","Period=FQ","BEST_FPERIOD_OVERRIDE=FQ","FILING_STATUS=OR","SCALING_FORMAT=MLN","Sort=A","Dates=H","DateFormat=P","Fill=—","Direction=H","UseDPDF=Y")</f>
        <v>—</v>
      </c>
      <c r="N42" s="13" t="str">
        <f>_xll.BDH("AMZN US Equity","LT_CAPITAL_LEASE_OBLIGATIONS","FQ4 2001","FQ4 2001","Currency=USD","Period=FQ","BEST_FPERIOD_OVERRIDE=FQ","FILING_STATUS=OR","SCALING_FORMAT=MLN","Sort=A","Dates=H","DateFormat=P","Fill=—","Direction=H","UseDPDF=Y")</f>
        <v>—</v>
      </c>
      <c r="O42" s="13" t="str">
        <f>_xll.BDH("AMZN US Equity","LT_CAPITAL_LEASE_OBLIGATIONS","FQ1 2002","FQ1 2002","Currency=USD","Period=FQ","BEST_FPERIOD_OVERRIDE=FQ","FILING_STATUS=OR","SCALING_FORMAT=MLN","Sort=A","Dates=H","DateFormat=P","Fill=—","Direction=H","UseDPDF=Y")</f>
        <v>—</v>
      </c>
      <c r="P42" s="13" t="str">
        <f>_xll.BDH("AMZN US Equity","LT_CAPITAL_LEASE_OBLIGATIONS","FQ2 2002","FQ2 2002","Currency=USD","Period=FQ","BEST_FPERIOD_OVERRIDE=FQ","FILING_STATUS=OR","SCALING_FORMAT=MLN","Sort=A","Dates=H","DateFormat=P","Fill=—","Direction=H","UseDPDF=Y")</f>
        <v>—</v>
      </c>
      <c r="Q42" s="13" t="str">
        <f>_xll.BDH("AMZN US Equity","LT_CAPITAL_LEASE_OBLIGATIONS","FQ3 2002","FQ3 2002","Currency=USD","Period=FQ","BEST_FPERIOD_OVERRIDE=FQ","FILING_STATUS=OR","SCALING_FORMAT=MLN","Sort=A","Dates=H","DateFormat=P","Fill=—","Direction=H","UseDPDF=Y")</f>
        <v>—</v>
      </c>
      <c r="R42" s="13" t="str">
        <f>_xll.BDH("AMZN US Equity","LT_CAPITAL_LEASE_OBLIGATIONS","FQ4 2002","FQ4 2002","Currency=USD","Period=FQ","BEST_FPERIOD_OVERRIDE=FQ","FILING_STATUS=OR","SCALING_FORMAT=MLN","Sort=A","Dates=H","DateFormat=P","Fill=—","Direction=H","UseDPDF=Y")</f>
        <v>—</v>
      </c>
      <c r="S42" s="13" t="str">
        <f>_xll.BDH("AMZN US Equity","LT_CAPITAL_LEASE_OBLIGATIONS","FQ1 2003","FQ1 2003","Currency=USD","Period=FQ","BEST_FPERIOD_OVERRIDE=FQ","FILING_STATUS=OR","SCALING_FORMAT=MLN","Sort=A","Dates=H","DateFormat=P","Fill=—","Direction=H","UseDPDF=Y")</f>
        <v>—</v>
      </c>
      <c r="T42" s="13" t="str">
        <f>_xll.BDH("AMZN US Equity","LT_CAPITAL_LEASE_OBLIGATIONS","FQ2 2003","FQ2 2003","Currency=USD","Period=FQ","BEST_FPERIOD_OVERRIDE=FQ","FILING_STATUS=OR","SCALING_FORMAT=MLN","Sort=A","Dates=H","DateFormat=P","Fill=—","Direction=H","UseDPDF=Y")</f>
        <v>—</v>
      </c>
      <c r="U42" s="13" t="str">
        <f>_xll.BDH("AMZN US Equity","LT_CAPITAL_LEASE_OBLIGATIONS","FQ3 2003","FQ3 2003","Currency=USD","Period=FQ","BEST_FPERIOD_OVERRIDE=FQ","FILING_STATUS=OR","SCALING_FORMAT=MLN","Sort=A","Dates=H","DateFormat=P","Fill=—","Direction=H","UseDPDF=Y")</f>
        <v>—</v>
      </c>
      <c r="V42" s="13" t="str">
        <f>_xll.BDH("AMZN US Equity","LT_CAPITAL_LEASE_OBLIGATIONS","FQ4 2003","FQ4 2003","Currency=USD","Period=FQ","BEST_FPERIOD_OVERRIDE=FQ","FILING_STATUS=OR","SCALING_FORMAT=MLN","Sort=A","Dates=H","DateFormat=P","Fill=—","Direction=H","UseDPDF=Y")</f>
        <v>—</v>
      </c>
      <c r="W42" s="13" t="str">
        <f>_xll.BDH("AMZN US Equity","LT_CAPITAL_LEASE_OBLIGATIONS","FQ1 2004","FQ1 2004","Currency=USD","Period=FQ","BEST_FPERIOD_OVERRIDE=FQ","FILING_STATUS=OR","SCALING_FORMAT=MLN","Sort=A","Dates=H","DateFormat=P","Fill=—","Direction=H","UseDPDF=Y")</f>
        <v>—</v>
      </c>
      <c r="X42" s="13" t="str">
        <f>_xll.BDH("AMZN US Equity","LT_CAPITAL_LEASE_OBLIGATIONS","FQ2 2004","FQ2 2004","Currency=USD","Period=FQ","BEST_FPERIOD_OVERRIDE=FQ","FILING_STATUS=OR","SCALING_FORMAT=MLN","Sort=A","Dates=H","DateFormat=P","Fill=—","Direction=H","UseDPDF=Y")</f>
        <v>—</v>
      </c>
      <c r="Y42" s="13" t="str">
        <f>_xll.BDH("AMZN US Equity","LT_CAPITAL_LEASE_OBLIGATIONS","FQ3 2004","FQ3 2004","Currency=USD","Period=FQ","BEST_FPERIOD_OVERRIDE=FQ","FILING_STATUS=OR","SCALING_FORMAT=MLN","Sort=A","Dates=H","DateFormat=P","Fill=—","Direction=H","UseDPDF=Y")</f>
        <v>—</v>
      </c>
      <c r="Z42" s="13">
        <f>_xll.BDH("AMZN US Equity","LT_CAPITAL_LEASE_OBLIGATIONS","FQ4 2004","FQ4 2004","Currency=USD","Period=FQ","BEST_FPERIOD_OVERRIDE=FQ","FILING_STATUS=OR","SCALING_FORMAT=MLN","Sort=A","Dates=H","DateFormat=P","Fill=—","Direction=H","UseDPDF=Y")</f>
        <v>0.51500000000000001</v>
      </c>
      <c r="AA42" s="13">
        <f>_xll.BDH("AMZN US Equity","LT_CAPITAL_LEASE_OBLIGATIONS","FQ1 2005","FQ1 2005","Currency=USD","Period=FQ","BEST_FPERIOD_OVERRIDE=FQ","FILING_STATUS=OR","SCALING_FORMAT=MLN","Sort=A","Dates=H","DateFormat=P","Fill=—","Direction=H","UseDPDF=Y")</f>
        <v>0.7</v>
      </c>
      <c r="AB42" s="13">
        <f>_xll.BDH("AMZN US Equity","LT_CAPITAL_LEASE_OBLIGATIONS","FQ2 2005","FQ2 2005","Currency=USD","Period=FQ","BEST_FPERIOD_OVERRIDE=FQ","FILING_STATUS=OR","SCALING_FORMAT=MLN","Sort=A","Dates=H","DateFormat=P","Fill=—","Direction=H","UseDPDF=Y")</f>
        <v>0.6</v>
      </c>
      <c r="AC42" s="13">
        <f>_xll.BDH("AMZN US Equity","LT_CAPITAL_LEASE_OBLIGATIONS","FQ3 2005","FQ3 2005","Currency=USD","Period=FQ","BEST_FPERIOD_OVERRIDE=FQ","FILING_STATUS=OR","SCALING_FORMAT=MLN","Sort=A","Dates=H","DateFormat=P","Fill=—","Direction=H","UseDPDF=Y")</f>
        <v>0.7</v>
      </c>
      <c r="AD42" s="13">
        <f>_xll.BDH("AMZN US Equity","LT_CAPITAL_LEASE_OBLIGATIONS","FQ4 2005","FQ4 2005","Currency=USD","Period=FQ","BEST_FPERIOD_OVERRIDE=FQ","FILING_STATUS=OR","SCALING_FORMAT=MLN","Sort=A","Dates=H","DateFormat=P","Fill=—","Direction=H","UseDPDF=Y")</f>
        <v>5</v>
      </c>
      <c r="AE42" s="13" t="str">
        <f>_xll.BDH("AMZN US Equity","LT_CAPITAL_LEASE_OBLIGATIONS","FQ1 2006","FQ1 2006","Currency=USD","Period=FQ","BEST_FPERIOD_OVERRIDE=FQ","FILING_STATUS=OR","SCALING_FORMAT=MLN","Sort=A","Dates=H","DateFormat=P","Fill=—","Direction=H","UseDPDF=Y")</f>
        <v>—</v>
      </c>
      <c r="AF42" s="13" t="str">
        <f>_xll.BDH("AMZN US Equity","LT_CAPITAL_LEASE_OBLIGATIONS","FQ2 2006","FQ2 2006","Currency=USD","Period=FQ","BEST_FPERIOD_OVERRIDE=FQ","FILING_STATUS=OR","SCALING_FORMAT=MLN","Sort=A","Dates=H","DateFormat=P","Fill=—","Direction=H","UseDPDF=Y")</f>
        <v>—</v>
      </c>
      <c r="AG42" s="13" t="str">
        <f>_xll.BDH("AMZN US Equity","LT_CAPITAL_LEASE_OBLIGATIONS","FQ3 2006","FQ3 2006","Currency=USD","Period=FQ","BEST_FPERIOD_OVERRIDE=FQ","FILING_STATUS=OR","SCALING_FORMAT=MLN","Sort=A","Dates=H","DateFormat=P","Fill=—","Direction=H","UseDPDF=Y")</f>
        <v>—</v>
      </c>
      <c r="AH42" s="13">
        <f>_xll.BDH("AMZN US Equity","LT_CAPITAL_LEASE_OBLIGATIONS","FQ4 2006","FQ4 2006","Currency=USD","Period=FQ","BEST_FPERIOD_OVERRIDE=FQ","FILING_STATUS=OR","SCALING_FORMAT=MLN","Sort=A","Dates=H","DateFormat=P","Fill=—","Direction=H","UseDPDF=Y")</f>
        <v>20</v>
      </c>
      <c r="AI42" s="13" t="str">
        <f>_xll.BDH("AMZN US Equity","LT_CAPITAL_LEASE_OBLIGATIONS","FQ1 2007","FQ1 2007","Currency=USD","Period=FQ","BEST_FPERIOD_OVERRIDE=FQ","FILING_STATUS=OR","SCALING_FORMAT=MLN","Sort=A","Dates=H","DateFormat=P","Fill=—","Direction=H","UseDPDF=Y")</f>
        <v>—</v>
      </c>
      <c r="AJ42" s="13" t="str">
        <f>_xll.BDH("AMZN US Equity","LT_CAPITAL_LEASE_OBLIGATIONS","FQ2 2007","FQ2 2007","Currency=USD","Period=FQ","BEST_FPERIOD_OVERRIDE=FQ","FILING_STATUS=OR","SCALING_FORMAT=MLN","Sort=A","Dates=H","DateFormat=P","Fill=—","Direction=H","UseDPDF=Y")</f>
        <v>—</v>
      </c>
      <c r="AK42" s="13" t="str">
        <f>_xll.BDH("AMZN US Equity","LT_CAPITAL_LEASE_OBLIGATIONS","FQ3 2007","FQ3 2007","Currency=USD","Period=FQ","BEST_FPERIOD_OVERRIDE=FQ","FILING_STATUS=OR","SCALING_FORMAT=MLN","Sort=A","Dates=H","DateFormat=P","Fill=—","Direction=H","UseDPDF=Y")</f>
        <v>—</v>
      </c>
      <c r="AL42" s="13">
        <f>_xll.BDH("AMZN US Equity","LT_CAPITAL_LEASE_OBLIGATIONS","FQ4 2007","FQ4 2007","Currency=USD","Period=FQ","BEST_FPERIOD_OVERRIDE=FQ","FILING_STATUS=OR","SCALING_FORMAT=MLN","Sort=A","Dates=H","DateFormat=P","Fill=—","Direction=H","UseDPDF=Y")</f>
        <v>62</v>
      </c>
      <c r="AM42" s="13" t="str">
        <f>_xll.BDH("AMZN US Equity","LT_CAPITAL_LEASE_OBLIGATIONS","FQ1 2008","FQ1 2008","Currency=USD","Period=FQ","BEST_FPERIOD_OVERRIDE=FQ","FILING_STATUS=OR","SCALING_FORMAT=MLN","Sort=A","Dates=H","DateFormat=P","Fill=—","Direction=H","UseDPDF=Y")</f>
        <v>—</v>
      </c>
      <c r="AN42" s="13" t="str">
        <f>_xll.BDH("AMZN US Equity","LT_CAPITAL_LEASE_OBLIGATIONS","FQ2 2008","FQ2 2008","Currency=USD","Period=FQ","BEST_FPERIOD_OVERRIDE=FQ","FILING_STATUS=OR","SCALING_FORMAT=MLN","Sort=A","Dates=H","DateFormat=P","Fill=—","Direction=H","UseDPDF=Y")</f>
        <v>—</v>
      </c>
      <c r="AO42" s="13" t="str">
        <f>_xll.BDH("AMZN US Equity","LT_CAPITAL_LEASE_OBLIGATIONS","FQ3 2008","FQ3 2008","Currency=USD","Period=FQ","BEST_FPERIOD_OVERRIDE=FQ","FILING_STATUS=OR","SCALING_FORMAT=MLN","Sort=A","Dates=H","DateFormat=P","Fill=—","Direction=H","UseDPDF=Y")</f>
        <v>—</v>
      </c>
      <c r="AP42" s="13">
        <f>_xll.BDH("AMZN US Equity","LT_CAPITAL_LEASE_OBLIGATIONS","FQ4 2008","FQ4 2008","Currency=USD","Period=FQ","BEST_FPERIOD_OVERRIDE=FQ","FILING_STATUS=OR","SCALING_FORMAT=MLN","Sort=A","Dates=H","DateFormat=P","Fill=—","Direction=H","UseDPDF=Y")</f>
        <v>124</v>
      </c>
    </row>
    <row r="43" spans="1:42" x14ac:dyDescent="0.25">
      <c r="A43" s="10" t="s">
        <v>248</v>
      </c>
      <c r="B43" s="10" t="s">
        <v>249</v>
      </c>
      <c r="C43" s="13">
        <f>_xll.BDH("AMZN US Equity","OTHER_NONCUR_LIABS_SUB_DETAILED","FQ4 1998","FQ4 1998","Currency=USD","Period=FQ","BEST_FPERIOD_OVERRIDE=FQ","FILING_STATUS=OR","SCALING_FORMAT=MLN","Sort=A","Dates=H","DateFormat=P","Fill=—","Direction=H","UseDPDF=Y")</f>
        <v>0</v>
      </c>
      <c r="D43" s="13">
        <f>_xll.BDH("AMZN US Equity","OTHER_NONCUR_LIABS_SUB_DETAILED","FQ1 1999","FQ1 1999","Currency=USD","Period=FQ","BEST_FPERIOD_OVERRIDE=FQ","FILING_STATUS=OR","SCALING_FORMAT=MLN","Sort=A","Dates=H","DateFormat=P","Fill=—","Direction=H","UseDPDF=Y")</f>
        <v>0</v>
      </c>
      <c r="E43" s="13">
        <f>_xll.BDH("AMZN US Equity","OTHER_NONCUR_LIABS_SUB_DETAILED","FQ2 1999","FQ2 1999","Currency=USD","Period=FQ","BEST_FPERIOD_OVERRIDE=FQ","FILING_STATUS=OR","SCALING_FORMAT=MLN","Sort=A","Dates=H","DateFormat=P","Fill=—","Direction=H","UseDPDF=Y")</f>
        <v>0</v>
      </c>
      <c r="F43" s="13">
        <f>_xll.BDH("AMZN US Equity","OTHER_NONCUR_LIABS_SUB_DETAILED","FQ3 1999","FQ3 1999","Currency=USD","Period=FQ","BEST_FPERIOD_OVERRIDE=FQ","FILING_STATUS=OR","SCALING_FORMAT=MLN","Sort=A","Dates=H","DateFormat=P","Fill=—","Direction=H","UseDPDF=Y")</f>
        <v>0</v>
      </c>
      <c r="G43" s="13">
        <f>_xll.BDH("AMZN US Equity","OTHER_NONCUR_LIABS_SUB_DETAILED","FQ4 1999","FQ4 1999","Currency=USD","Period=FQ","BEST_FPERIOD_OVERRIDE=FQ","FILING_STATUS=OR","SCALING_FORMAT=MLN","Sort=A","Dates=H","DateFormat=P","Fill=—","Direction=H","UseDPDF=Y")</f>
        <v>0</v>
      </c>
      <c r="H43" s="13">
        <f>_xll.BDH("AMZN US Equity","OTHER_NONCUR_LIABS_SUB_DETAILED","FQ1 2000","FQ1 2000","Currency=USD","Period=FQ","BEST_FPERIOD_OVERRIDE=FQ","FILING_STATUS=OR","SCALING_FORMAT=MLN","Sort=A","Dates=H","DateFormat=P","Fill=—","Direction=H","UseDPDF=Y")</f>
        <v>0</v>
      </c>
      <c r="I43" s="13">
        <f>_xll.BDH("AMZN US Equity","OTHER_NONCUR_LIABS_SUB_DETAILED","FQ3 2000","FQ3 2000","Currency=USD","Period=FQ","BEST_FPERIOD_OVERRIDE=FQ","FILING_STATUS=OR","SCALING_FORMAT=MLN","Sort=A","Dates=H","DateFormat=P","Fill=—","Direction=H","UseDPDF=Y")</f>
        <v>0</v>
      </c>
      <c r="J43" s="13">
        <f>_xll.BDH("AMZN US Equity","OTHER_NONCUR_LIABS_SUB_DETAILED","FQ4 2000","FQ4 2000","Currency=USD","Period=FQ","BEST_FPERIOD_OVERRIDE=FQ","FILING_STATUS=OR","SCALING_FORMAT=MLN","Sort=A","Dates=H","DateFormat=P","Fill=—","Direction=H","UseDPDF=Y")</f>
        <v>0</v>
      </c>
      <c r="K43" s="13">
        <f>_xll.BDH("AMZN US Equity","OTHER_NONCUR_LIABS_SUB_DETAILED","FQ1 2001","FQ1 2001","Currency=USD","Period=FQ","BEST_FPERIOD_OVERRIDE=FQ","FILING_STATUS=OR","SCALING_FORMAT=MLN","Sort=A","Dates=H","DateFormat=P","Fill=—","Direction=H","UseDPDF=Y")</f>
        <v>0</v>
      </c>
      <c r="L43" s="13">
        <f>_xll.BDH("AMZN US Equity","OTHER_NONCUR_LIABS_SUB_DETAILED","FQ2 2001","FQ2 2001","Currency=USD","Period=FQ","BEST_FPERIOD_OVERRIDE=FQ","FILING_STATUS=OR","SCALING_FORMAT=MLN","Sort=A","Dates=H","DateFormat=P","Fill=—","Direction=H","UseDPDF=Y")</f>
        <v>0</v>
      </c>
      <c r="M43" s="13">
        <f>_xll.BDH("AMZN US Equity","OTHER_NONCUR_LIABS_SUB_DETAILED","FQ3 2001","FQ3 2001","Currency=USD","Period=FQ","BEST_FPERIOD_OVERRIDE=FQ","FILING_STATUS=OR","SCALING_FORMAT=MLN","Sort=A","Dates=H","DateFormat=P","Fill=—","Direction=H","UseDPDF=Y")</f>
        <v>0</v>
      </c>
      <c r="N43" s="13">
        <f>_xll.BDH("AMZN US Equity","OTHER_NONCUR_LIABS_SUB_DETAILED","FQ4 2001","FQ4 2001","Currency=USD","Period=FQ","BEST_FPERIOD_OVERRIDE=FQ","FILING_STATUS=OR","SCALING_FORMAT=MLN","Sort=A","Dates=H","DateFormat=P","Fill=—","Direction=H","UseDPDF=Y")</f>
        <v>0</v>
      </c>
      <c r="O43" s="13">
        <f>_xll.BDH("AMZN US Equity","OTHER_NONCUR_LIABS_SUB_DETAILED","FQ1 2002","FQ1 2002","Currency=USD","Period=FQ","BEST_FPERIOD_OVERRIDE=FQ","FILING_STATUS=OR","SCALING_FORMAT=MLN","Sort=A","Dates=H","DateFormat=P","Fill=—","Direction=H","UseDPDF=Y")</f>
        <v>0</v>
      </c>
      <c r="P43" s="13">
        <f>_xll.BDH("AMZN US Equity","OTHER_NONCUR_LIABS_SUB_DETAILED","FQ2 2002","FQ2 2002","Currency=USD","Period=FQ","BEST_FPERIOD_OVERRIDE=FQ","FILING_STATUS=OR","SCALING_FORMAT=MLN","Sort=A","Dates=H","DateFormat=P","Fill=—","Direction=H","UseDPDF=Y")</f>
        <v>0</v>
      </c>
      <c r="Q43" s="13">
        <f>_xll.BDH("AMZN US Equity","OTHER_NONCUR_LIABS_SUB_DETAILED","FQ3 2002","FQ3 2002","Currency=USD","Period=FQ","BEST_FPERIOD_OVERRIDE=FQ","FILING_STATUS=OR","SCALING_FORMAT=MLN","Sort=A","Dates=H","DateFormat=P","Fill=—","Direction=H","UseDPDF=Y")</f>
        <v>0</v>
      </c>
      <c r="R43" s="13">
        <f>_xll.BDH("AMZN US Equity","OTHER_NONCUR_LIABS_SUB_DETAILED","FQ4 2002","FQ4 2002","Currency=USD","Period=FQ","BEST_FPERIOD_OVERRIDE=FQ","FILING_STATUS=OR","SCALING_FORMAT=MLN","Sort=A","Dates=H","DateFormat=P","Fill=—","Direction=H","UseDPDF=Y")</f>
        <v>0</v>
      </c>
      <c r="S43" s="13">
        <f>_xll.BDH("AMZN US Equity","OTHER_NONCUR_LIABS_SUB_DETAILED","FQ1 2003","FQ1 2003","Currency=USD","Period=FQ","BEST_FPERIOD_OVERRIDE=FQ","FILING_STATUS=OR","SCALING_FORMAT=MLN","Sort=A","Dates=H","DateFormat=P","Fill=—","Direction=H","UseDPDF=Y")</f>
        <v>0</v>
      </c>
      <c r="T43" s="13">
        <f>_xll.BDH("AMZN US Equity","OTHER_NONCUR_LIABS_SUB_DETAILED","FQ2 2003","FQ2 2003","Currency=USD","Period=FQ","BEST_FPERIOD_OVERRIDE=FQ","FILING_STATUS=OR","SCALING_FORMAT=MLN","Sort=A","Dates=H","DateFormat=P","Fill=—","Direction=H","UseDPDF=Y")</f>
        <v>0</v>
      </c>
      <c r="U43" s="13">
        <f>_xll.BDH("AMZN US Equity","OTHER_NONCUR_LIABS_SUB_DETAILED","FQ3 2003","FQ3 2003","Currency=USD","Period=FQ","BEST_FPERIOD_OVERRIDE=FQ","FILING_STATUS=OR","SCALING_FORMAT=MLN","Sort=A","Dates=H","DateFormat=P","Fill=—","Direction=H","UseDPDF=Y")</f>
        <v>0</v>
      </c>
      <c r="V43" s="13">
        <f>_xll.BDH("AMZN US Equity","OTHER_NONCUR_LIABS_SUB_DETAILED","FQ4 2003","FQ4 2003","Currency=USD","Period=FQ","BEST_FPERIOD_OVERRIDE=FQ","FILING_STATUS=OR","SCALING_FORMAT=MLN","Sort=A","Dates=H","DateFormat=P","Fill=—","Direction=H","UseDPDF=Y")</f>
        <v>0</v>
      </c>
      <c r="W43" s="13">
        <f>_xll.BDH("AMZN US Equity","OTHER_NONCUR_LIABS_SUB_DETAILED","FQ1 2004","FQ1 2004","Currency=USD","Period=FQ","BEST_FPERIOD_OVERRIDE=FQ","FILING_STATUS=OR","SCALING_FORMAT=MLN","Sort=A","Dates=H","DateFormat=P","Fill=—","Direction=H","UseDPDF=Y")</f>
        <v>0</v>
      </c>
      <c r="X43" s="13">
        <f>_xll.BDH("AMZN US Equity","OTHER_NONCUR_LIABS_SUB_DETAILED","FQ2 2004","FQ2 2004","Currency=USD","Period=FQ","BEST_FPERIOD_OVERRIDE=FQ","FILING_STATUS=OR","SCALING_FORMAT=MLN","Sort=A","Dates=H","DateFormat=P","Fill=—","Direction=H","UseDPDF=Y")</f>
        <v>0</v>
      </c>
      <c r="Y43" s="13">
        <f>_xll.BDH("AMZN US Equity","OTHER_NONCUR_LIABS_SUB_DETAILED","FQ3 2004","FQ3 2004","Currency=USD","Period=FQ","BEST_FPERIOD_OVERRIDE=FQ","FILING_STATUS=OR","SCALING_FORMAT=MLN","Sort=A","Dates=H","DateFormat=P","Fill=—","Direction=H","UseDPDF=Y")</f>
        <v>0</v>
      </c>
      <c r="Z43" s="13">
        <f>_xll.BDH("AMZN US Equity","OTHER_NONCUR_LIABS_SUB_DETAILED","FQ4 2004","FQ4 2004","Currency=USD","Period=FQ","BEST_FPERIOD_OVERRIDE=FQ","FILING_STATUS=OR","SCALING_FORMAT=MLN","Sort=A","Dates=H","DateFormat=P","Fill=—","Direction=H","UseDPDF=Y")</f>
        <v>0</v>
      </c>
      <c r="AA43" s="13">
        <f>_xll.BDH("AMZN US Equity","OTHER_NONCUR_LIABS_SUB_DETAILED","FQ1 2005","FQ1 2005","Currency=USD","Period=FQ","BEST_FPERIOD_OVERRIDE=FQ","FILING_STATUS=OR","SCALING_FORMAT=MLN","Sort=A","Dates=H","DateFormat=P","Fill=—","Direction=H","UseDPDF=Y")</f>
        <v>0</v>
      </c>
      <c r="AB43" s="13">
        <f>_xll.BDH("AMZN US Equity","OTHER_NONCUR_LIABS_SUB_DETAILED","FQ2 2005","FQ2 2005","Currency=USD","Period=FQ","BEST_FPERIOD_OVERRIDE=FQ","FILING_STATUS=OR","SCALING_FORMAT=MLN","Sort=A","Dates=H","DateFormat=P","Fill=—","Direction=H","UseDPDF=Y")</f>
        <v>0</v>
      </c>
      <c r="AC43" s="13">
        <f>_xll.BDH("AMZN US Equity","OTHER_NONCUR_LIABS_SUB_DETAILED","FQ3 2005","FQ3 2005","Currency=USD","Period=FQ","BEST_FPERIOD_OVERRIDE=FQ","FILING_STATUS=OR","SCALING_FORMAT=MLN","Sort=A","Dates=H","DateFormat=P","Fill=—","Direction=H","UseDPDF=Y")</f>
        <v>0</v>
      </c>
      <c r="AD43" s="13">
        <f>_xll.BDH("AMZN US Equity","OTHER_NONCUR_LIABS_SUB_DETAILED","FQ4 2005","FQ4 2005","Currency=USD","Period=FQ","BEST_FPERIOD_OVERRIDE=FQ","FILING_STATUS=OR","SCALING_FORMAT=MLN","Sort=A","Dates=H","DateFormat=P","Fill=—","Direction=H","UseDPDF=Y")</f>
        <v>0</v>
      </c>
      <c r="AE43" s="13">
        <f>_xll.BDH("AMZN US Equity","OTHER_NONCUR_LIABS_SUB_DETAILED","FQ1 2006","FQ1 2006","Currency=USD","Period=FQ","BEST_FPERIOD_OVERRIDE=FQ","FILING_STATUS=OR","SCALING_FORMAT=MLN","Sort=A","Dates=H","DateFormat=P","Fill=—","Direction=H","UseDPDF=Y")</f>
        <v>0</v>
      </c>
      <c r="AF43" s="13">
        <f>_xll.BDH("AMZN US Equity","OTHER_NONCUR_LIABS_SUB_DETAILED","FQ2 2006","FQ2 2006","Currency=USD","Period=FQ","BEST_FPERIOD_OVERRIDE=FQ","FILING_STATUS=OR","SCALING_FORMAT=MLN","Sort=A","Dates=H","DateFormat=P","Fill=—","Direction=H","UseDPDF=Y")</f>
        <v>0</v>
      </c>
      <c r="AG43" s="13">
        <f>_xll.BDH("AMZN US Equity","OTHER_NONCUR_LIABS_SUB_DETAILED","FQ3 2006","FQ3 2006","Currency=USD","Period=FQ","BEST_FPERIOD_OVERRIDE=FQ","FILING_STATUS=OR","SCALING_FORMAT=MLN","Sort=A","Dates=H","DateFormat=P","Fill=—","Direction=H","UseDPDF=Y")</f>
        <v>0</v>
      </c>
      <c r="AH43" s="13">
        <f>_xll.BDH("AMZN US Equity","OTHER_NONCUR_LIABS_SUB_DETAILED","FQ4 2006","FQ4 2006","Currency=USD","Period=FQ","BEST_FPERIOD_OVERRIDE=FQ","FILING_STATUS=OR","SCALING_FORMAT=MLN","Sort=A","Dates=H","DateFormat=P","Fill=—","Direction=H","UseDPDF=Y")</f>
        <v>153</v>
      </c>
      <c r="AI43" s="13">
        <f>_xll.BDH("AMZN US Equity","OTHER_NONCUR_LIABS_SUB_DETAILED","FQ1 2007","FQ1 2007","Currency=USD","Period=FQ","BEST_FPERIOD_OVERRIDE=FQ","FILING_STATUS=OR","SCALING_FORMAT=MLN","Sort=A","Dates=H","DateFormat=P","Fill=—","Direction=H","UseDPDF=Y")</f>
        <v>210</v>
      </c>
      <c r="AJ43" s="13">
        <f>_xll.BDH("AMZN US Equity","OTHER_NONCUR_LIABS_SUB_DETAILED","FQ2 2007","FQ2 2007","Currency=USD","Period=FQ","BEST_FPERIOD_OVERRIDE=FQ","FILING_STATUS=OR","SCALING_FORMAT=MLN","Sort=A","Dates=H","DateFormat=P","Fill=—","Direction=H","UseDPDF=Y")</f>
        <v>242</v>
      </c>
      <c r="AK43" s="13">
        <f>_xll.BDH("AMZN US Equity","OTHER_NONCUR_LIABS_SUB_DETAILED","FQ3 2007","FQ3 2007","Currency=USD","Period=FQ","BEST_FPERIOD_OVERRIDE=FQ","FILING_STATUS=OR","SCALING_FORMAT=MLN","Sort=A","Dates=H","DateFormat=P","Fill=—","Direction=H","UseDPDF=Y")</f>
        <v>265</v>
      </c>
      <c r="AL43" s="13">
        <f>_xll.BDH("AMZN US Equity","OTHER_NONCUR_LIABS_SUB_DETAILED","FQ4 2007","FQ4 2007","Currency=USD","Period=FQ","BEST_FPERIOD_OVERRIDE=FQ","FILING_STATUS=OR","SCALING_FORMAT=MLN","Sort=A","Dates=H","DateFormat=P","Fill=—","Direction=H","UseDPDF=Y")</f>
        <v>292</v>
      </c>
      <c r="AM43" s="13">
        <f>_xll.BDH("AMZN US Equity","OTHER_NONCUR_LIABS_SUB_DETAILED","FQ1 2008","FQ1 2008","Currency=USD","Period=FQ","BEST_FPERIOD_OVERRIDE=FQ","FILING_STATUS=OR","SCALING_FORMAT=MLN","Sort=A","Dates=H","DateFormat=P","Fill=—","Direction=H","UseDPDF=Y")</f>
        <v>395</v>
      </c>
      <c r="AN43" s="13">
        <f>_xll.BDH("AMZN US Equity","OTHER_NONCUR_LIABS_SUB_DETAILED","FQ2 2008","FQ2 2008","Currency=USD","Period=FQ","BEST_FPERIOD_OVERRIDE=FQ","FILING_STATUS=OR","SCALING_FORMAT=MLN","Sort=A","Dates=H","DateFormat=P","Fill=—","Direction=H","UseDPDF=Y")</f>
        <v>443</v>
      </c>
      <c r="AO43" s="13">
        <f>_xll.BDH("AMZN US Equity","OTHER_NONCUR_LIABS_SUB_DETAILED","FQ3 2008","FQ3 2008","Currency=USD","Period=FQ","BEST_FPERIOD_OVERRIDE=FQ","FILING_STATUS=OR","SCALING_FORMAT=MLN","Sort=A","Dates=H","DateFormat=P","Fill=—","Direction=H","UseDPDF=Y")</f>
        <v>502</v>
      </c>
      <c r="AP43" s="13">
        <f>_xll.BDH("AMZN US Equity","OTHER_NONCUR_LIABS_SUB_DETAILED","FQ4 2008","FQ4 2008","Currency=USD","Period=FQ","BEST_FPERIOD_OVERRIDE=FQ","FILING_STATUS=OR","SCALING_FORMAT=MLN","Sort=A","Dates=H","DateFormat=P","Fill=—","Direction=H","UseDPDF=Y")</f>
        <v>363</v>
      </c>
    </row>
    <row r="44" spans="1:42" x14ac:dyDescent="0.25">
      <c r="A44" s="10" t="s">
        <v>250</v>
      </c>
      <c r="B44" s="10" t="s">
        <v>251</v>
      </c>
      <c r="C44" s="13">
        <f>_xll.BDH("AMZN US Equity","OTHER_NONCURRENT_LIABS_DETAILED","FQ4 1998","FQ4 1998","Currency=USD","Period=FQ","BEST_FPERIOD_OVERRIDE=FQ","FILING_STATUS=OR","SCALING_FORMAT=MLN","Sort=A","Dates=H","DateFormat=P","Fill=—","Direction=H","UseDPDF=Y")</f>
        <v>0</v>
      </c>
      <c r="D44" s="13">
        <f>_xll.BDH("AMZN US Equity","OTHER_NONCURRENT_LIABS_DETAILED","FQ1 1999","FQ1 1999","Currency=USD","Period=FQ","BEST_FPERIOD_OVERRIDE=FQ","FILING_STATUS=OR","SCALING_FORMAT=MLN","Sort=A","Dates=H","DateFormat=P","Fill=—","Direction=H","UseDPDF=Y")</f>
        <v>0</v>
      </c>
      <c r="E44" s="13">
        <f>_xll.BDH("AMZN US Equity","OTHER_NONCURRENT_LIABS_DETAILED","FQ2 1999","FQ2 1999","Currency=USD","Period=FQ","BEST_FPERIOD_OVERRIDE=FQ","FILING_STATUS=OR","SCALING_FORMAT=MLN","Sort=A","Dates=H","DateFormat=P","Fill=—","Direction=H","UseDPDF=Y")</f>
        <v>0</v>
      </c>
      <c r="F44" s="13">
        <f>_xll.BDH("AMZN US Equity","OTHER_NONCURRENT_LIABS_DETAILED","FQ3 1999","FQ3 1999","Currency=USD","Period=FQ","BEST_FPERIOD_OVERRIDE=FQ","FILING_STATUS=OR","SCALING_FORMAT=MLN","Sort=A","Dates=H","DateFormat=P","Fill=—","Direction=H","UseDPDF=Y")</f>
        <v>0</v>
      </c>
      <c r="G44" s="13">
        <f>_xll.BDH("AMZN US Equity","OTHER_NONCURRENT_LIABS_DETAILED","FQ4 1999","FQ4 1999","Currency=USD","Period=FQ","BEST_FPERIOD_OVERRIDE=FQ","FILING_STATUS=OR","SCALING_FORMAT=MLN","Sort=A","Dates=H","DateFormat=P","Fill=—","Direction=H","UseDPDF=Y")</f>
        <v>0</v>
      </c>
      <c r="H44" s="13">
        <f>_xll.BDH("AMZN US Equity","OTHER_NONCURRENT_LIABS_DETAILED","FQ1 2000","FQ1 2000","Currency=USD","Period=FQ","BEST_FPERIOD_OVERRIDE=FQ","FILING_STATUS=OR","SCALING_FORMAT=MLN","Sort=A","Dates=H","DateFormat=P","Fill=—","Direction=H","UseDPDF=Y")</f>
        <v>0</v>
      </c>
      <c r="I44" s="13">
        <f>_xll.BDH("AMZN US Equity","OTHER_NONCURRENT_LIABS_DETAILED","FQ3 2000","FQ3 2000","Currency=USD","Period=FQ","BEST_FPERIOD_OVERRIDE=FQ","FILING_STATUS=OR","SCALING_FORMAT=MLN","Sort=A","Dates=H","DateFormat=P","Fill=—","Direction=H","UseDPDF=Y")</f>
        <v>0</v>
      </c>
      <c r="J44" s="13">
        <f>_xll.BDH("AMZN US Equity","OTHER_NONCURRENT_LIABS_DETAILED","FQ4 2000","FQ4 2000","Currency=USD","Period=FQ","BEST_FPERIOD_OVERRIDE=FQ","FILING_STATUS=OR","SCALING_FORMAT=MLN","Sort=A","Dates=H","DateFormat=P","Fill=—","Direction=H","UseDPDF=Y")</f>
        <v>0</v>
      </c>
      <c r="K44" s="13">
        <f>_xll.BDH("AMZN US Equity","OTHER_NONCURRENT_LIABS_DETAILED","FQ1 2001","FQ1 2001","Currency=USD","Period=FQ","BEST_FPERIOD_OVERRIDE=FQ","FILING_STATUS=OR","SCALING_FORMAT=MLN","Sort=A","Dates=H","DateFormat=P","Fill=—","Direction=H","UseDPDF=Y")</f>
        <v>0</v>
      </c>
      <c r="L44" s="13">
        <f>_xll.BDH("AMZN US Equity","OTHER_NONCURRENT_LIABS_DETAILED","FQ2 2001","FQ2 2001","Currency=USD","Period=FQ","BEST_FPERIOD_OVERRIDE=FQ","FILING_STATUS=OR","SCALING_FORMAT=MLN","Sort=A","Dates=H","DateFormat=P","Fill=—","Direction=H","UseDPDF=Y")</f>
        <v>0</v>
      </c>
      <c r="M44" s="13">
        <f>_xll.BDH("AMZN US Equity","OTHER_NONCURRENT_LIABS_DETAILED","FQ3 2001","FQ3 2001","Currency=USD","Period=FQ","BEST_FPERIOD_OVERRIDE=FQ","FILING_STATUS=OR","SCALING_FORMAT=MLN","Sort=A","Dates=H","DateFormat=P","Fill=—","Direction=H","UseDPDF=Y")</f>
        <v>0</v>
      </c>
      <c r="N44" s="13">
        <f>_xll.BDH("AMZN US Equity","OTHER_NONCURRENT_LIABS_DETAILED","FQ4 2001","FQ4 2001","Currency=USD","Period=FQ","BEST_FPERIOD_OVERRIDE=FQ","FILING_STATUS=OR","SCALING_FORMAT=MLN","Sort=A","Dates=H","DateFormat=P","Fill=—","Direction=H","UseDPDF=Y")</f>
        <v>0</v>
      </c>
      <c r="O44" s="13">
        <f>_xll.BDH("AMZN US Equity","OTHER_NONCURRENT_LIABS_DETAILED","FQ1 2002","FQ1 2002","Currency=USD","Period=FQ","BEST_FPERIOD_OVERRIDE=FQ","FILING_STATUS=OR","SCALING_FORMAT=MLN","Sort=A","Dates=H","DateFormat=P","Fill=—","Direction=H","UseDPDF=Y")</f>
        <v>0</v>
      </c>
      <c r="P44" s="13">
        <f>_xll.BDH("AMZN US Equity","OTHER_NONCURRENT_LIABS_DETAILED","FQ2 2002","FQ2 2002","Currency=USD","Period=FQ","BEST_FPERIOD_OVERRIDE=FQ","FILING_STATUS=OR","SCALING_FORMAT=MLN","Sort=A","Dates=H","DateFormat=P","Fill=—","Direction=H","UseDPDF=Y")</f>
        <v>0</v>
      </c>
      <c r="Q44" s="13">
        <f>_xll.BDH("AMZN US Equity","OTHER_NONCURRENT_LIABS_DETAILED","FQ3 2002","FQ3 2002","Currency=USD","Period=FQ","BEST_FPERIOD_OVERRIDE=FQ","FILING_STATUS=OR","SCALING_FORMAT=MLN","Sort=A","Dates=H","DateFormat=P","Fill=—","Direction=H","UseDPDF=Y")</f>
        <v>0</v>
      </c>
      <c r="R44" s="13">
        <f>_xll.BDH("AMZN US Equity","OTHER_NONCURRENT_LIABS_DETAILED","FQ4 2002","FQ4 2002","Currency=USD","Period=FQ","BEST_FPERIOD_OVERRIDE=FQ","FILING_STATUS=OR","SCALING_FORMAT=MLN","Sort=A","Dates=H","DateFormat=P","Fill=—","Direction=H","UseDPDF=Y")</f>
        <v>0</v>
      </c>
      <c r="S44" s="13">
        <f>_xll.BDH("AMZN US Equity","OTHER_NONCURRENT_LIABS_DETAILED","FQ1 2003","FQ1 2003","Currency=USD","Period=FQ","BEST_FPERIOD_OVERRIDE=FQ","FILING_STATUS=OR","SCALING_FORMAT=MLN","Sort=A","Dates=H","DateFormat=P","Fill=—","Direction=H","UseDPDF=Y")</f>
        <v>0</v>
      </c>
      <c r="T44" s="13">
        <f>_xll.BDH("AMZN US Equity","OTHER_NONCURRENT_LIABS_DETAILED","FQ2 2003","FQ2 2003","Currency=USD","Period=FQ","BEST_FPERIOD_OVERRIDE=FQ","FILING_STATUS=OR","SCALING_FORMAT=MLN","Sort=A","Dates=H","DateFormat=P","Fill=—","Direction=H","UseDPDF=Y")</f>
        <v>0</v>
      </c>
      <c r="U44" s="13">
        <f>_xll.BDH("AMZN US Equity","OTHER_NONCURRENT_LIABS_DETAILED","FQ3 2003","FQ3 2003","Currency=USD","Period=FQ","BEST_FPERIOD_OVERRIDE=FQ","FILING_STATUS=OR","SCALING_FORMAT=MLN","Sort=A","Dates=H","DateFormat=P","Fill=—","Direction=H","UseDPDF=Y")</f>
        <v>0</v>
      </c>
      <c r="V44" s="13">
        <f>_xll.BDH("AMZN US Equity","OTHER_NONCURRENT_LIABS_DETAILED","FQ4 2003","FQ4 2003","Currency=USD","Period=FQ","BEST_FPERIOD_OVERRIDE=FQ","FILING_STATUS=OR","SCALING_FORMAT=MLN","Sort=A","Dates=H","DateFormat=P","Fill=—","Direction=H","UseDPDF=Y")</f>
        <v>0</v>
      </c>
      <c r="W44" s="13">
        <f>_xll.BDH("AMZN US Equity","OTHER_NONCURRENT_LIABS_DETAILED","FQ1 2004","FQ1 2004","Currency=USD","Period=FQ","BEST_FPERIOD_OVERRIDE=FQ","FILING_STATUS=OR","SCALING_FORMAT=MLN","Sort=A","Dates=H","DateFormat=P","Fill=—","Direction=H","UseDPDF=Y")</f>
        <v>0</v>
      </c>
      <c r="X44" s="13">
        <f>_xll.BDH("AMZN US Equity","OTHER_NONCURRENT_LIABS_DETAILED","FQ2 2004","FQ2 2004","Currency=USD","Period=FQ","BEST_FPERIOD_OVERRIDE=FQ","FILING_STATUS=OR","SCALING_FORMAT=MLN","Sort=A","Dates=H","DateFormat=P","Fill=—","Direction=H","UseDPDF=Y")</f>
        <v>0</v>
      </c>
      <c r="Y44" s="13">
        <f>_xll.BDH("AMZN US Equity","OTHER_NONCURRENT_LIABS_DETAILED","FQ3 2004","FQ3 2004","Currency=USD","Period=FQ","BEST_FPERIOD_OVERRIDE=FQ","FILING_STATUS=OR","SCALING_FORMAT=MLN","Sort=A","Dates=H","DateFormat=P","Fill=—","Direction=H","UseDPDF=Y")</f>
        <v>0</v>
      </c>
      <c r="Z44" s="13">
        <f>_xll.BDH("AMZN US Equity","OTHER_NONCURRENT_LIABS_DETAILED","FQ4 2004","FQ4 2004","Currency=USD","Period=FQ","BEST_FPERIOD_OVERRIDE=FQ","FILING_STATUS=OR","SCALING_FORMAT=MLN","Sort=A","Dates=H","DateFormat=P","Fill=—","Direction=H","UseDPDF=Y")</f>
        <v>0</v>
      </c>
      <c r="AA44" s="13">
        <f>_xll.BDH("AMZN US Equity","OTHER_NONCURRENT_LIABS_DETAILED","FQ1 2005","FQ1 2005","Currency=USD","Period=FQ","BEST_FPERIOD_OVERRIDE=FQ","FILING_STATUS=OR","SCALING_FORMAT=MLN","Sort=A","Dates=H","DateFormat=P","Fill=—","Direction=H","UseDPDF=Y")</f>
        <v>0</v>
      </c>
      <c r="AB44" s="13">
        <f>_xll.BDH("AMZN US Equity","OTHER_NONCURRENT_LIABS_DETAILED","FQ2 2005","FQ2 2005","Currency=USD","Period=FQ","BEST_FPERIOD_OVERRIDE=FQ","FILING_STATUS=OR","SCALING_FORMAT=MLN","Sort=A","Dates=H","DateFormat=P","Fill=—","Direction=H","UseDPDF=Y")</f>
        <v>0</v>
      </c>
      <c r="AC44" s="13">
        <f>_xll.BDH("AMZN US Equity","OTHER_NONCURRENT_LIABS_DETAILED","FQ3 2005","FQ3 2005","Currency=USD","Period=FQ","BEST_FPERIOD_OVERRIDE=FQ","FILING_STATUS=OR","SCALING_FORMAT=MLN","Sort=A","Dates=H","DateFormat=P","Fill=—","Direction=H","UseDPDF=Y")</f>
        <v>0</v>
      </c>
      <c r="AD44" s="13">
        <f>_xll.BDH("AMZN US Equity","OTHER_NONCURRENT_LIABS_DETAILED","FQ4 2005","FQ4 2005","Currency=USD","Period=FQ","BEST_FPERIOD_OVERRIDE=FQ","FILING_STATUS=OR","SCALING_FORMAT=MLN","Sort=A","Dates=H","DateFormat=P","Fill=—","Direction=H","UseDPDF=Y")</f>
        <v>0</v>
      </c>
      <c r="AE44" s="13">
        <f>_xll.BDH("AMZN US Equity","OTHER_NONCURRENT_LIABS_DETAILED","FQ1 2006","FQ1 2006","Currency=USD","Period=FQ","BEST_FPERIOD_OVERRIDE=FQ","FILING_STATUS=OR","SCALING_FORMAT=MLN","Sort=A","Dates=H","DateFormat=P","Fill=—","Direction=H","UseDPDF=Y")</f>
        <v>0</v>
      </c>
      <c r="AF44" s="13">
        <f>_xll.BDH("AMZN US Equity","OTHER_NONCURRENT_LIABS_DETAILED","FQ2 2006","FQ2 2006","Currency=USD","Period=FQ","BEST_FPERIOD_OVERRIDE=FQ","FILING_STATUS=OR","SCALING_FORMAT=MLN","Sort=A","Dates=H","DateFormat=P","Fill=—","Direction=H","UseDPDF=Y")</f>
        <v>0</v>
      </c>
      <c r="AG44" s="13">
        <f>_xll.BDH("AMZN US Equity","OTHER_NONCURRENT_LIABS_DETAILED","FQ3 2006","FQ3 2006","Currency=USD","Period=FQ","BEST_FPERIOD_OVERRIDE=FQ","FILING_STATUS=OR","SCALING_FORMAT=MLN","Sort=A","Dates=H","DateFormat=P","Fill=—","Direction=H","UseDPDF=Y")</f>
        <v>0</v>
      </c>
      <c r="AH44" s="13">
        <f>_xll.BDH("AMZN US Equity","OTHER_NONCURRENT_LIABS_DETAILED","FQ4 2006","FQ4 2006","Currency=USD","Period=FQ","BEST_FPERIOD_OVERRIDE=FQ","FILING_STATUS=OR","SCALING_FORMAT=MLN","Sort=A","Dates=H","DateFormat=P","Fill=—","Direction=H","UseDPDF=Y")</f>
        <v>153</v>
      </c>
      <c r="AI44" s="13">
        <f>_xll.BDH("AMZN US Equity","OTHER_NONCURRENT_LIABS_DETAILED","FQ1 2007","FQ1 2007","Currency=USD","Period=FQ","BEST_FPERIOD_OVERRIDE=FQ","FILING_STATUS=OR","SCALING_FORMAT=MLN","Sort=A","Dates=H","DateFormat=P","Fill=—","Direction=H","UseDPDF=Y")</f>
        <v>210</v>
      </c>
      <c r="AJ44" s="13">
        <f>_xll.BDH("AMZN US Equity","OTHER_NONCURRENT_LIABS_DETAILED","FQ2 2007","FQ2 2007","Currency=USD","Period=FQ","BEST_FPERIOD_OVERRIDE=FQ","FILING_STATUS=OR","SCALING_FORMAT=MLN","Sort=A","Dates=H","DateFormat=P","Fill=—","Direction=H","UseDPDF=Y")</f>
        <v>242</v>
      </c>
      <c r="AK44" s="13">
        <f>_xll.BDH("AMZN US Equity","OTHER_NONCURRENT_LIABS_DETAILED","FQ3 2007","FQ3 2007","Currency=USD","Period=FQ","BEST_FPERIOD_OVERRIDE=FQ","FILING_STATUS=OR","SCALING_FORMAT=MLN","Sort=A","Dates=H","DateFormat=P","Fill=—","Direction=H","UseDPDF=Y")</f>
        <v>265</v>
      </c>
      <c r="AL44" s="13">
        <f>_xll.BDH("AMZN US Equity","OTHER_NONCURRENT_LIABS_DETAILED","FQ4 2007","FQ4 2007","Currency=USD","Period=FQ","BEST_FPERIOD_OVERRIDE=FQ","FILING_STATUS=OR","SCALING_FORMAT=MLN","Sort=A","Dates=H","DateFormat=P","Fill=—","Direction=H","UseDPDF=Y")</f>
        <v>292</v>
      </c>
      <c r="AM44" s="13">
        <f>_xll.BDH("AMZN US Equity","OTHER_NONCURRENT_LIABS_DETAILED","FQ1 2008","FQ1 2008","Currency=USD","Period=FQ","BEST_FPERIOD_OVERRIDE=FQ","FILING_STATUS=OR","SCALING_FORMAT=MLN","Sort=A","Dates=H","DateFormat=P","Fill=—","Direction=H","UseDPDF=Y")</f>
        <v>395</v>
      </c>
      <c r="AN44" s="13">
        <f>_xll.BDH("AMZN US Equity","OTHER_NONCURRENT_LIABS_DETAILED","FQ2 2008","FQ2 2008","Currency=USD","Period=FQ","BEST_FPERIOD_OVERRIDE=FQ","FILING_STATUS=OR","SCALING_FORMAT=MLN","Sort=A","Dates=H","DateFormat=P","Fill=—","Direction=H","UseDPDF=Y")</f>
        <v>443</v>
      </c>
      <c r="AO44" s="13">
        <f>_xll.BDH("AMZN US Equity","OTHER_NONCURRENT_LIABS_DETAILED","FQ3 2008","FQ3 2008","Currency=USD","Period=FQ","BEST_FPERIOD_OVERRIDE=FQ","FILING_STATUS=OR","SCALING_FORMAT=MLN","Sort=A","Dates=H","DateFormat=P","Fill=—","Direction=H","UseDPDF=Y")</f>
        <v>502</v>
      </c>
      <c r="AP44" s="13">
        <f>_xll.BDH("AMZN US Equity","OTHER_NONCURRENT_LIABS_DETAILED","FQ4 2008","FQ4 2008","Currency=USD","Period=FQ","BEST_FPERIOD_OVERRIDE=FQ","FILING_STATUS=OR","SCALING_FORMAT=MLN","Sort=A","Dates=H","DateFormat=P","Fill=—","Direction=H","UseDPDF=Y")</f>
        <v>363</v>
      </c>
    </row>
    <row r="45" spans="1:42" x14ac:dyDescent="0.25">
      <c r="A45" s="6" t="s">
        <v>252</v>
      </c>
      <c r="B45" s="6" t="s">
        <v>253</v>
      </c>
      <c r="C45" s="16">
        <f>_xll.BDH("AMZN US Equity","NON_CUR_LIAB","FQ4 1998","FQ4 1998","Currency=USD","Period=FQ","BEST_FPERIOD_OVERRIDE=FQ","FILING_STATUS=OR","SCALING_FORMAT=MLN","Sort=A","Dates=H","DateFormat=P","Fill=—","Direction=H","UseDPDF=Y")</f>
        <v>348.14</v>
      </c>
      <c r="D45" s="16">
        <f>_xll.BDH("AMZN US Equity","NON_CUR_LIAB","FQ1 1999","FQ1 1999","Currency=USD","Period=FQ","BEST_FPERIOD_OVERRIDE=FQ","FILING_STATUS=OR","SCALING_FORMAT=MLN","Sort=A","Dates=H","DateFormat=P","Fill=—","Direction=H","UseDPDF=Y")</f>
        <v>1533.8621000000001</v>
      </c>
      <c r="E45" s="16">
        <f>_xll.BDH("AMZN US Equity","NON_CUR_LIAB","FQ2 1999","FQ2 1999","Currency=USD","Period=FQ","BEST_FPERIOD_OVERRIDE=FQ","FILING_STATUS=OR","SCALING_FORMAT=MLN","Sort=A","Dates=H","DateFormat=P","Fill=—","Direction=H","UseDPDF=Y")</f>
        <v>1449.2239999999999</v>
      </c>
      <c r="F45" s="16">
        <f>_xll.BDH("AMZN US Equity","NON_CUR_LIAB","FQ3 1999","FQ3 1999","Currency=USD","Period=FQ","BEST_FPERIOD_OVERRIDE=FQ","FILING_STATUS=OR","SCALING_FORMAT=MLN","Sort=A","Dates=H","DateFormat=P","Fill=—","Direction=H","UseDPDF=Y")</f>
        <v>1462.203</v>
      </c>
      <c r="G45" s="16">
        <f>_xll.BDH("AMZN US Equity","NON_CUR_LIAB","FQ4 1999","FQ4 1999","Currency=USD","Period=FQ","BEST_FPERIOD_OVERRIDE=FQ","FILING_STATUS=OR","SCALING_FORMAT=MLN","Sort=A","Dates=H","DateFormat=P","Fill=—","Direction=H","UseDPDF=Y")</f>
        <v>1466.338</v>
      </c>
      <c r="H45" s="16">
        <f>_xll.BDH("AMZN US Equity","NON_CUR_LIAB","FQ1 2000","FQ1 2000","Currency=USD","Period=FQ","BEST_FPERIOD_OVERRIDE=FQ","FILING_STATUS=OR","SCALING_FORMAT=MLN","Sort=A","Dates=H","DateFormat=P","Fill=—","Direction=H","UseDPDF=Y")</f>
        <v>2136.9609999999998</v>
      </c>
      <c r="I45" s="16">
        <f>_xll.BDH("AMZN US Equity","NON_CUR_LIAB","FQ3 2000","FQ3 2000","Currency=USD","Period=FQ","BEST_FPERIOD_OVERRIDE=FQ","FILING_STATUS=OR","SCALING_FORMAT=MLN","Sort=A","Dates=H","DateFormat=P","Fill=—","Direction=H","UseDPDF=Y")</f>
        <v>2082.6970000000001</v>
      </c>
      <c r="J45" s="16">
        <f>_xll.BDH("AMZN US Equity","NON_CUR_LIAB","FQ4 2000","FQ4 2000","Currency=USD","Period=FQ","BEST_FPERIOD_OVERRIDE=FQ","FILING_STATUS=OR","SCALING_FORMAT=MLN","Sort=A","Dates=H","DateFormat=P","Fill=—","Direction=H","UseDPDF=Y")</f>
        <v>2127.4641000000001</v>
      </c>
      <c r="K45" s="16">
        <f>_xll.BDH("AMZN US Equity","NON_CUR_LIAB","FQ1 2001","FQ1 2001","Currency=USD","Period=FQ","BEST_FPERIOD_OVERRIDE=FQ","FILING_STATUS=OR","SCALING_FORMAT=MLN","Sort=A","Dates=H","DateFormat=P","Fill=—","Direction=H","UseDPDF=Y")</f>
        <v>2118.8560000000002</v>
      </c>
      <c r="L45" s="16">
        <f>_xll.BDH("AMZN US Equity","NON_CUR_LIAB","FQ2 2001","FQ2 2001","Currency=USD","Period=FQ","BEST_FPERIOD_OVERRIDE=FQ","FILING_STATUS=OR","SCALING_FORMAT=MLN","Sort=A","Dates=H","DateFormat=P","Fill=—","Direction=H","UseDPDF=Y")</f>
        <v>2126.7271000000001</v>
      </c>
      <c r="M45" s="16">
        <f>_xll.BDH("AMZN US Equity","NON_CUR_LIAB","FQ3 2001","FQ3 2001","Currency=USD","Period=FQ","BEST_FPERIOD_OVERRIDE=FQ","FILING_STATUS=OR","SCALING_FORMAT=MLN","Sort=A","Dates=H","DateFormat=P","Fill=—","Direction=H","UseDPDF=Y")</f>
        <v>2172.1640000000002</v>
      </c>
      <c r="N45" s="16">
        <f>_xll.BDH("AMZN US Equity","NON_CUR_LIAB","FQ4 2001","FQ4 2001","Currency=USD","Period=FQ","BEST_FPERIOD_OVERRIDE=FQ","FILING_STATUS=OR","SCALING_FORMAT=MLN","Sort=A","Dates=H","DateFormat=P","Fill=—","Direction=H","UseDPDF=Y")</f>
        <v>2156.1331</v>
      </c>
      <c r="O45" s="16">
        <f>_xll.BDH("AMZN US Equity","NON_CUR_LIAB","FQ1 2002","FQ1 2002","Currency=USD","Period=FQ","BEST_FPERIOD_OVERRIDE=FQ","FILING_STATUS=OR","SCALING_FORMAT=MLN","Sort=A","Dates=H","DateFormat=P","Fill=—","Direction=H","UseDPDF=Y")</f>
        <v>2152.2728999999999</v>
      </c>
      <c r="P45" s="16">
        <f>_xll.BDH("AMZN US Equity","NON_CUR_LIAB","FQ2 2002","FQ2 2002","Currency=USD","Period=FQ","BEST_FPERIOD_OVERRIDE=FQ","FILING_STATUS=OR","SCALING_FORMAT=MLN","Sort=A","Dates=H","DateFormat=P","Fill=—","Direction=H","UseDPDF=Y")</f>
        <v>2218.4259999999999</v>
      </c>
      <c r="Q45" s="16">
        <f>_xll.BDH("AMZN US Equity","NON_CUR_LIAB","FQ3 2002","FQ3 2002","Currency=USD","Period=FQ","BEST_FPERIOD_OVERRIDE=FQ","FILING_STATUS=OR","SCALING_FORMAT=MLN","Sort=A","Dates=H","DateFormat=P","Fill=—","Direction=H","UseDPDF=Y")</f>
        <v>2264.8458999999998</v>
      </c>
      <c r="R45" s="16">
        <f>_xll.BDH("AMZN US Equity","NON_CUR_LIAB","FQ4 2002","FQ4 2002","Currency=USD","Period=FQ","BEST_FPERIOD_OVERRIDE=FQ","FILING_STATUS=OR","SCALING_FORMAT=MLN","Sort=A","Dates=H","DateFormat=P","Fill=—","Direction=H","UseDPDF=Y")</f>
        <v>2277.3049000000001</v>
      </c>
      <c r="S45" s="16">
        <f>_xll.BDH("AMZN US Equity","NON_CUR_LIAB","FQ1 2003","FQ1 2003","Currency=USD","Period=FQ","BEST_FPERIOD_OVERRIDE=FQ","FILING_STATUS=OR","SCALING_FORMAT=MLN","Sort=A","Dates=H","DateFormat=P","Fill=—","Direction=H","UseDPDF=Y")</f>
        <v>2296.4180000000001</v>
      </c>
      <c r="T45" s="16">
        <f>_xll.BDH("AMZN US Equity","NON_CUR_LIAB","FQ2 2003","FQ2 2003","Currency=USD","Period=FQ","BEST_FPERIOD_OVERRIDE=FQ","FILING_STATUS=OR","SCALING_FORMAT=MLN","Sort=A","Dates=H","DateFormat=P","Fill=—","Direction=H","UseDPDF=Y")</f>
        <v>2074.3058999999998</v>
      </c>
      <c r="U45" s="16">
        <f>_xll.BDH("AMZN US Equity","NON_CUR_LIAB","FQ3 2003","FQ3 2003","Currency=USD","Period=FQ","BEST_FPERIOD_OVERRIDE=FQ","FILING_STATUS=OR","SCALING_FORMAT=MLN","Sort=A","Dates=H","DateFormat=P","Fill=—","Direction=H","UseDPDF=Y")</f>
        <v>2080.9690000000001</v>
      </c>
      <c r="V45" s="16">
        <f>_xll.BDH("AMZN US Equity","NON_CUR_LIAB","FQ4 2003","FQ4 2003","Currency=USD","Period=FQ","BEST_FPERIOD_OVERRIDE=FQ","FILING_STATUS=OR","SCALING_FORMAT=MLN","Sort=A","Dates=H","DateFormat=P","Fill=—","Direction=H","UseDPDF=Y")</f>
        <v>1945.4390000000001</v>
      </c>
      <c r="W45" s="16">
        <f>_xll.BDH("AMZN US Equity","NON_CUR_LIAB","FQ1 2004","FQ1 2004","Currency=USD","Period=FQ","BEST_FPERIOD_OVERRIDE=FQ","FILING_STATUS=OR","SCALING_FORMAT=MLN","Sort=A","Dates=H","DateFormat=P","Fill=—","Direction=H","UseDPDF=Y")</f>
        <v>1777.7</v>
      </c>
      <c r="X45" s="16">
        <f>_xll.BDH("AMZN US Equity","NON_CUR_LIAB","FQ2 2004","FQ2 2004","Currency=USD","Period=FQ","BEST_FPERIOD_OVERRIDE=FQ","FILING_STATUS=OR","SCALING_FORMAT=MLN","Sort=A","Dates=H","DateFormat=P","Fill=—","Direction=H","UseDPDF=Y")</f>
        <v>1762.614</v>
      </c>
      <c r="Y45" s="16">
        <f>_xll.BDH("AMZN US Equity","NON_CUR_LIAB","FQ3 2004","FQ3 2004","Currency=USD","Period=FQ","BEST_FPERIOD_OVERRIDE=FQ","FILING_STATUS=OR","SCALING_FORMAT=MLN","Sort=A","Dates=H","DateFormat=P","Fill=—","Direction=H","UseDPDF=Y")</f>
        <v>1778.722</v>
      </c>
      <c r="Z45" s="16">
        <f>_xll.BDH("AMZN US Equity","NON_CUR_LIAB","FQ4 2004","FQ4 2004","Currency=USD","Period=FQ","BEST_FPERIOD_OVERRIDE=FQ","FILING_STATUS=OR","SCALING_FORMAT=MLN","Sort=A","Dates=H","DateFormat=P","Fill=—","Direction=H","UseDPDF=Y")</f>
        <v>1855.319</v>
      </c>
      <c r="AA45" s="16">
        <f>_xll.BDH("AMZN US Equity","NON_CUR_LIAB","FQ1 2005","FQ1 2005","Currency=USD","Period=FQ","BEST_FPERIOD_OVERRIDE=FQ","FILING_STATUS=OR","SCALING_FORMAT=MLN","Sort=A","Dates=H","DateFormat=P","Fill=—","Direction=H","UseDPDF=Y")</f>
        <v>1561</v>
      </c>
      <c r="AB45" s="16">
        <f>_xll.BDH("AMZN US Equity","NON_CUR_LIAB","FQ2 2005","FQ2 2005","Currency=USD","Period=FQ","BEST_FPERIOD_OVERRIDE=FQ","FILING_STATUS=OR","SCALING_FORMAT=MLN","Sort=A","Dates=H","DateFormat=P","Fill=—","Direction=H","UseDPDF=Y")</f>
        <v>1521</v>
      </c>
      <c r="AC45" s="16">
        <f>_xll.BDH("AMZN US Equity","NON_CUR_LIAB","FQ3 2005","FQ3 2005","Currency=USD","Period=FQ","BEST_FPERIOD_OVERRIDE=FQ","FILING_STATUS=OR","SCALING_FORMAT=MLN","Sort=A","Dates=H","DateFormat=P","Fill=—","Direction=H","UseDPDF=Y")</f>
        <v>1513</v>
      </c>
      <c r="AD45" s="16">
        <f>_xll.BDH("AMZN US Equity","NON_CUR_LIAB","FQ4 2005","FQ4 2005","Currency=USD","Period=FQ","BEST_FPERIOD_OVERRIDE=FQ","FILING_STATUS=OR","SCALING_FORMAT=MLN","Sort=A","Dates=H","DateFormat=P","Fill=—","Direction=H","UseDPDF=Y")</f>
        <v>1521</v>
      </c>
      <c r="AE45" s="16">
        <f>_xll.BDH("AMZN US Equity","NON_CUR_LIAB","FQ1 2006","FQ1 2006","Currency=USD","Period=FQ","BEST_FPERIOD_OVERRIDE=FQ","FILING_STATUS=OR","SCALING_FORMAT=MLN","Sort=A","Dates=H","DateFormat=P","Fill=—","Direction=H","UseDPDF=Y")</f>
        <v>1259</v>
      </c>
      <c r="AF45" s="16">
        <f>_xll.BDH("AMZN US Equity","NON_CUR_LIAB","FQ2 2006","FQ2 2006","Currency=USD","Period=FQ","BEST_FPERIOD_OVERRIDE=FQ","FILING_STATUS=OR","SCALING_FORMAT=MLN","Sort=A","Dates=H","DateFormat=P","Fill=—","Direction=H","UseDPDF=Y")</f>
        <v>1324</v>
      </c>
      <c r="AG45" s="16">
        <f>_xll.BDH("AMZN US Equity","NON_CUR_LIAB","FQ3 2006","FQ3 2006","Currency=USD","Period=FQ","BEST_FPERIOD_OVERRIDE=FQ","FILING_STATUS=OR","SCALING_FORMAT=MLN","Sort=A","Dates=H","DateFormat=P","Fill=—","Direction=H","UseDPDF=Y")</f>
        <v>1304</v>
      </c>
      <c r="AH45" s="16">
        <f>_xll.BDH("AMZN US Equity","NON_CUR_LIAB","FQ4 2006","FQ4 2006","Currency=USD","Period=FQ","BEST_FPERIOD_OVERRIDE=FQ","FILING_STATUS=OR","SCALING_FORMAT=MLN","Sort=A","Dates=H","DateFormat=P","Fill=—","Direction=H","UseDPDF=Y")</f>
        <v>1400</v>
      </c>
      <c r="AI45" s="16">
        <f>_xll.BDH("AMZN US Equity","NON_CUR_LIAB","FQ1 2007","FQ1 2007","Currency=USD","Period=FQ","BEST_FPERIOD_OVERRIDE=FQ","FILING_STATUS=OR","SCALING_FORMAT=MLN","Sort=A","Dates=H","DateFormat=P","Fill=—","Direction=H","UseDPDF=Y")</f>
        <v>1461</v>
      </c>
      <c r="AJ45" s="16">
        <f>_xll.BDH("AMZN US Equity","NON_CUR_LIAB","FQ2 2007","FQ2 2007","Currency=USD","Period=FQ","BEST_FPERIOD_OVERRIDE=FQ","FILING_STATUS=OR","SCALING_FORMAT=MLN","Sort=A","Dates=H","DateFormat=P","Fill=—","Direction=H","UseDPDF=Y")</f>
        <v>1498</v>
      </c>
      <c r="AK45" s="16">
        <f>_xll.BDH("AMZN US Equity","NON_CUR_LIAB","FQ3 2007","FQ3 2007","Currency=USD","Period=FQ","BEST_FPERIOD_OVERRIDE=FQ","FILING_STATUS=OR","SCALING_FORMAT=MLN","Sort=A","Dates=H","DateFormat=P","Fill=—","Direction=H","UseDPDF=Y")</f>
        <v>1538</v>
      </c>
      <c r="AL45" s="16">
        <f>_xll.BDH("AMZN US Equity","NON_CUR_LIAB","FQ4 2007","FQ4 2007","Currency=USD","Period=FQ","BEST_FPERIOD_OVERRIDE=FQ","FILING_STATUS=OR","SCALING_FORMAT=MLN","Sort=A","Dates=H","DateFormat=P","Fill=—","Direction=H","UseDPDF=Y")</f>
        <v>1574</v>
      </c>
      <c r="AM45" s="16">
        <f>_xll.BDH("AMZN US Equity","NON_CUR_LIAB","FQ1 2008","FQ1 2008","Currency=USD","Period=FQ","BEST_FPERIOD_OVERRIDE=FQ","FILING_STATUS=OR","SCALING_FORMAT=MLN","Sort=A","Dates=H","DateFormat=P","Fill=—","Direction=H","UseDPDF=Y")</f>
        <v>862</v>
      </c>
      <c r="AN45" s="16">
        <f>_xll.BDH("AMZN US Equity","NON_CUR_LIAB","FQ2 2008","FQ2 2008","Currency=USD","Period=FQ","BEST_FPERIOD_OVERRIDE=FQ","FILING_STATUS=OR","SCALING_FORMAT=MLN","Sort=A","Dates=H","DateFormat=P","Fill=—","Direction=H","UseDPDF=Y")</f>
        <v>876</v>
      </c>
      <c r="AO45" s="16">
        <f>_xll.BDH("AMZN US Equity","NON_CUR_LIAB","FQ3 2008","FQ3 2008","Currency=USD","Period=FQ","BEST_FPERIOD_OVERRIDE=FQ","FILING_STATUS=OR","SCALING_FORMAT=MLN","Sort=A","Dates=H","DateFormat=P","Fill=—","Direction=H","UseDPDF=Y")</f>
        <v>895</v>
      </c>
      <c r="AP45" s="16">
        <f>_xll.BDH("AMZN US Equity","NON_CUR_LIAB","FQ4 2008","FQ4 2008","Currency=USD","Period=FQ","BEST_FPERIOD_OVERRIDE=FQ","FILING_STATUS=OR","SCALING_FORMAT=MLN","Sort=A","Dates=H","DateFormat=P","Fill=—","Direction=H","UseDPDF=Y")</f>
        <v>896</v>
      </c>
    </row>
    <row r="46" spans="1:42" x14ac:dyDescent="0.25">
      <c r="A46" s="6" t="s">
        <v>254</v>
      </c>
      <c r="B46" s="6" t="s">
        <v>255</v>
      </c>
      <c r="C46" s="16">
        <f>_xll.BDH("AMZN US Equity","BS_TOT_LIAB2","FQ4 1998","FQ4 1998","Currency=USD","Period=FQ","BEST_FPERIOD_OVERRIDE=FQ","FILING_STATUS=OR","SCALING_FORMAT=MLN","Sort=A","Dates=H","DateFormat=P","Fill=—","Direction=H","UseDPDF=Y")</f>
        <v>509.71499999999997</v>
      </c>
      <c r="D46" s="16">
        <f>_xll.BDH("AMZN US Equity","BS_TOT_LIAB2","FQ1 1999","FQ1 1999","Currency=USD","Period=FQ","BEST_FPERIOD_OVERRIDE=FQ","FILING_STATUS=OR","SCALING_FORMAT=MLN","Sort=A","Dates=H","DateFormat=P","Fill=—","Direction=H","UseDPDF=Y")</f>
        <v>1735.4471000000001</v>
      </c>
      <c r="E46" s="16">
        <f>_xll.BDH("AMZN US Equity","BS_TOT_LIAB2","FQ2 1999","FQ2 1999","Currency=USD","Period=FQ","BEST_FPERIOD_OVERRIDE=FQ","FILING_STATUS=OR","SCALING_FORMAT=MLN","Sort=A","Dates=H","DateFormat=P","Fill=—","Direction=H","UseDPDF=Y")</f>
        <v>1727.1679999999999</v>
      </c>
      <c r="F46" s="16">
        <f>_xll.BDH("AMZN US Equity","BS_TOT_LIAB2","FQ3 1999","FQ3 1999","Currency=USD","Period=FQ","BEST_FPERIOD_OVERRIDE=FQ","FILING_STATUS=OR","SCALING_FORMAT=MLN","Sort=A","Dates=H","DateFormat=P","Fill=—","Direction=H","UseDPDF=Y")</f>
        <v>1819.874</v>
      </c>
      <c r="G46" s="16">
        <f>_xll.BDH("AMZN US Equity","BS_TOT_LIAB2","FQ4 1999","FQ4 1999","Currency=USD","Period=FQ","BEST_FPERIOD_OVERRIDE=FQ","FILING_STATUS=OR","SCALING_FORMAT=MLN","Sort=A","Dates=H","DateFormat=P","Fill=—","Direction=H","UseDPDF=Y")</f>
        <v>2205.2730000000001</v>
      </c>
      <c r="H46" s="16">
        <f>_xll.BDH("AMZN US Equity","BS_TOT_LIAB2","FQ1 2000","FQ1 2000","Currency=USD","Period=FQ","BEST_FPERIOD_OVERRIDE=FQ","FILING_STATUS=OR","SCALING_FORMAT=MLN","Sort=A","Dates=H","DateFormat=P","Fill=—","Direction=H","UseDPDF=Y")</f>
        <v>2704.1260000000002</v>
      </c>
      <c r="I46" s="16">
        <f>_xll.BDH("AMZN US Equity","BS_TOT_LIAB2","FQ3 2000","FQ3 2000","Currency=USD","Period=FQ","BEST_FPERIOD_OVERRIDE=FQ","FILING_STATUS=OR","SCALING_FORMAT=MLN","Sort=A","Dates=H","DateFormat=P","Fill=—","Direction=H","UseDPDF=Y")</f>
        <v>2741.7939999999999</v>
      </c>
      <c r="J46" s="16">
        <f>_xll.BDH("AMZN US Equity","BS_TOT_LIAB2","FQ4 2000","FQ4 2000","Currency=USD","Period=FQ","BEST_FPERIOD_OVERRIDE=FQ","FILING_STATUS=OR","SCALING_FORMAT=MLN","Sort=A","Dates=H","DateFormat=P","Fill=—","Direction=H","UseDPDF=Y")</f>
        <v>3102.4200999999998</v>
      </c>
      <c r="K46" s="16">
        <f>_xll.BDH("AMZN US Equity","BS_TOT_LIAB2","FQ1 2001","FQ1 2001","Currency=USD","Period=FQ","BEST_FPERIOD_OVERRIDE=FQ","FILING_STATUS=OR","SCALING_FORMAT=MLN","Sort=A","Dates=H","DateFormat=P","Fill=—","Direction=H","UseDPDF=Y")</f>
        <v>2723.5659999999998</v>
      </c>
      <c r="L46" s="16">
        <f>_xll.BDH("AMZN US Equity","BS_TOT_LIAB2","FQ2 2001","FQ2 2001","Currency=USD","Period=FQ","BEST_FPERIOD_OVERRIDE=FQ","FILING_STATUS=OR","SCALING_FORMAT=MLN","Sort=A","Dates=H","DateFormat=P","Fill=—","Direction=H","UseDPDF=Y")</f>
        <v>2774.9670000000001</v>
      </c>
      <c r="M46" s="16">
        <f>_xll.BDH("AMZN US Equity","BS_TOT_LIAB2","FQ3 2001","FQ3 2001","Currency=USD","Period=FQ","BEST_FPERIOD_OVERRIDE=FQ","FILING_STATUS=OR","SCALING_FORMAT=MLN","Sort=A","Dates=H","DateFormat=P","Fill=—","Direction=H","UseDPDF=Y")</f>
        <v>2800.3620000000001</v>
      </c>
      <c r="N46" s="16">
        <f>_xll.BDH("AMZN US Equity","BS_TOT_LIAB2","FQ4 2001","FQ4 2001","Currency=USD","Period=FQ","BEST_FPERIOD_OVERRIDE=FQ","FILING_STATUS=OR","SCALING_FORMAT=MLN","Sort=A","Dates=H","DateFormat=P","Fill=—","Direction=H","UseDPDF=Y")</f>
        <v>3077.5470999999998</v>
      </c>
      <c r="O46" s="16">
        <f>_xll.BDH("AMZN US Equity","BS_TOT_LIAB2","FQ1 2002","FQ1 2002","Currency=USD","Period=FQ","BEST_FPERIOD_OVERRIDE=FQ","FILING_STATUS=OR","SCALING_FORMAT=MLN","Sort=A","Dates=H","DateFormat=P","Fill=—","Direction=H","UseDPDF=Y")</f>
        <v>2809.3029999999999</v>
      </c>
      <c r="P46" s="16">
        <f>_xll.BDH("AMZN US Equity","BS_TOT_LIAB2","FQ2 2002","FQ2 2002","Currency=USD","Period=FQ","BEST_FPERIOD_OVERRIDE=FQ","FILING_STATUS=OR","SCALING_FORMAT=MLN","Sort=A","Dates=H","DateFormat=P","Fill=—","Direction=H","UseDPDF=Y")</f>
        <v>2878.9580000000001</v>
      </c>
      <c r="Q46" s="16">
        <f>_xll.BDH("AMZN US Equity","BS_TOT_LIAB2","FQ3 2002","FQ3 2002","Currency=USD","Period=FQ","BEST_FPERIOD_OVERRIDE=FQ","FILING_STATUS=OR","SCALING_FORMAT=MLN","Sort=A","Dates=H","DateFormat=P","Fill=—","Direction=H","UseDPDF=Y")</f>
        <v>2975.8438999999998</v>
      </c>
      <c r="R46" s="16">
        <f>_xll.BDH("AMZN US Equity","BS_TOT_LIAB2","FQ4 2002","FQ4 2002","Currency=USD","Period=FQ","BEST_FPERIOD_OVERRIDE=FQ","FILING_STATUS=OR","SCALING_FORMAT=MLN","Sort=A","Dates=H","DateFormat=P","Fill=—","Direction=H","UseDPDF=Y")</f>
        <v>3343.2629000000002</v>
      </c>
      <c r="S46" s="16">
        <f>_xll.BDH("AMZN US Equity","BS_TOT_LIAB2","FQ1 2003","FQ1 2003","Currency=USD","Period=FQ","BEST_FPERIOD_OVERRIDE=FQ","FILING_STATUS=OR","SCALING_FORMAT=MLN","Sort=A","Dates=H","DateFormat=P","Fill=—","Direction=H","UseDPDF=Y")</f>
        <v>2994.9969000000001</v>
      </c>
      <c r="T46" s="16">
        <f>_xll.BDH("AMZN US Equity","BS_TOT_LIAB2","FQ2 2003","FQ2 2003","Currency=USD","Period=FQ","BEST_FPERIOD_OVERRIDE=FQ","FILING_STATUS=OR","SCALING_FORMAT=MLN","Sort=A","Dates=H","DateFormat=P","Fill=—","Direction=H","UseDPDF=Y")</f>
        <v>2843.6898999999999</v>
      </c>
      <c r="U46" s="16">
        <f>_xll.BDH("AMZN US Equity","BS_TOT_LIAB2","FQ3 2003","FQ3 2003","Currency=USD","Period=FQ","BEST_FPERIOD_OVERRIDE=FQ","FILING_STATUS=OR","SCALING_FORMAT=MLN","Sort=A","Dates=H","DateFormat=P","Fill=—","Direction=H","UseDPDF=Y")</f>
        <v>2907.7190000000001</v>
      </c>
      <c r="V46" s="16">
        <f>_xll.BDH("AMZN US Equity","BS_TOT_LIAB2","FQ4 2003","FQ4 2003","Currency=USD","Period=FQ","BEST_FPERIOD_OVERRIDE=FQ","FILING_STATUS=OR","SCALING_FORMAT=MLN","Sort=A","Dates=H","DateFormat=P","Fill=—","Direction=H","UseDPDF=Y")</f>
        <v>3198.14</v>
      </c>
      <c r="W46" s="16">
        <f>_xll.BDH("AMZN US Equity","BS_TOT_LIAB2","FQ1 2004","FQ1 2004","Currency=USD","Period=FQ","BEST_FPERIOD_OVERRIDE=FQ","FILING_STATUS=OR","SCALING_FORMAT=MLN","Sort=A","Dates=H","DateFormat=P","Fill=—","Direction=H","UseDPDF=Y")</f>
        <v>2643.6109999999999</v>
      </c>
      <c r="X46" s="16">
        <f>_xll.BDH("AMZN US Equity","BS_TOT_LIAB2","FQ2 2004","FQ2 2004","Currency=USD","Period=FQ","BEST_FPERIOD_OVERRIDE=FQ","FILING_STATUS=OR","SCALING_FORMAT=MLN","Sort=A","Dates=H","DateFormat=P","Fill=—","Direction=H","UseDPDF=Y")</f>
        <v>2678.9679999999998</v>
      </c>
      <c r="Y46" s="16">
        <f>_xll.BDH("AMZN US Equity","BS_TOT_LIAB2","FQ3 2004","FQ3 2004","Currency=USD","Period=FQ","BEST_FPERIOD_OVERRIDE=FQ","FILING_STATUS=OR","SCALING_FORMAT=MLN","Sort=A","Dates=H","DateFormat=P","Fill=—","Direction=H","UseDPDF=Y")</f>
        <v>2829.7449999999999</v>
      </c>
      <c r="Z46" s="16">
        <f>_xll.BDH("AMZN US Equity","BS_TOT_LIAB2","FQ4 2004","FQ4 2004","Currency=USD","Period=FQ","BEST_FPERIOD_OVERRIDE=FQ","FILING_STATUS=OR","SCALING_FORMAT=MLN","Sort=A","Dates=H","DateFormat=P","Fill=—","Direction=H","UseDPDF=Y")</f>
        <v>3475.7190000000001</v>
      </c>
      <c r="AA46" s="16">
        <f>_xll.BDH("AMZN US Equity","BS_TOT_LIAB2","FQ1 2005","FQ1 2005","Currency=USD","Period=FQ","BEST_FPERIOD_OVERRIDE=FQ","FILING_STATUS=OR","SCALING_FORMAT=MLN","Sort=A","Dates=H","DateFormat=P","Fill=—","Direction=H","UseDPDF=Y")</f>
        <v>2634</v>
      </c>
      <c r="AB46" s="16">
        <f>_xll.BDH("AMZN US Equity","BS_TOT_LIAB2","FQ2 2005","FQ2 2005","Currency=USD","Period=FQ","BEST_FPERIOD_OVERRIDE=FQ","FILING_STATUS=OR","SCALING_FORMAT=MLN","Sort=A","Dates=H","DateFormat=P","Fill=—","Direction=H","UseDPDF=Y")</f>
        <v>2665</v>
      </c>
      <c r="AC46" s="16">
        <f>_xll.BDH("AMZN US Equity","BS_TOT_LIAB2","FQ3 2005","FQ3 2005","Currency=USD","Period=FQ","BEST_FPERIOD_OVERRIDE=FQ","FILING_STATUS=OR","SCALING_FORMAT=MLN","Sort=A","Dates=H","DateFormat=P","Fill=—","Direction=H","UseDPDF=Y")</f>
        <v>2826</v>
      </c>
      <c r="AD46" s="16">
        <f>_xll.BDH("AMZN US Equity","BS_TOT_LIAB2","FQ4 2005","FQ4 2005","Currency=USD","Period=FQ","BEST_FPERIOD_OVERRIDE=FQ","FILING_STATUS=OR","SCALING_FORMAT=MLN","Sort=A","Dates=H","DateFormat=P","Fill=—","Direction=H","UseDPDF=Y")</f>
        <v>3450</v>
      </c>
      <c r="AE46" s="16">
        <f>_xll.BDH("AMZN US Equity","BS_TOT_LIAB2","FQ1 2006","FQ1 2006","Currency=USD","Period=FQ","BEST_FPERIOD_OVERRIDE=FQ","FILING_STATUS=OR","SCALING_FORMAT=MLN","Sort=A","Dates=H","DateFormat=P","Fill=—","Direction=H","UseDPDF=Y")</f>
        <v>2666</v>
      </c>
      <c r="AF46" s="16">
        <f>_xll.BDH("AMZN US Equity","BS_TOT_LIAB2","FQ2 2006","FQ2 2006","Currency=USD","Period=FQ","BEST_FPERIOD_OVERRIDE=FQ","FILING_STATUS=OR","SCALING_FORMAT=MLN","Sort=A","Dates=H","DateFormat=P","Fill=—","Direction=H","UseDPDF=Y")</f>
        <v>2782</v>
      </c>
      <c r="AG46" s="16">
        <f>_xll.BDH("AMZN US Equity","BS_TOT_LIAB2","FQ3 2006","FQ3 2006","Currency=USD","Period=FQ","BEST_FPERIOD_OVERRIDE=FQ","FILING_STATUS=OR","SCALING_FORMAT=MLN","Sort=A","Dates=H","DateFormat=P","Fill=—","Direction=H","UseDPDF=Y")</f>
        <v>3072</v>
      </c>
      <c r="AH46" s="16">
        <f>_xll.BDH("AMZN US Equity","BS_TOT_LIAB2","FQ4 2006","FQ4 2006","Currency=USD","Period=FQ","BEST_FPERIOD_OVERRIDE=FQ","FILING_STATUS=OR","SCALING_FORMAT=MLN","Sort=A","Dates=H","DateFormat=P","Fill=—","Direction=H","UseDPDF=Y")</f>
        <v>3932</v>
      </c>
      <c r="AI46" s="16">
        <f>_xll.BDH("AMZN US Equity","BS_TOT_LIAB2","FQ1 2007","FQ1 2007","Currency=USD","Period=FQ","BEST_FPERIOD_OVERRIDE=FQ","FILING_STATUS=OR","SCALING_FORMAT=MLN","Sort=A","Dates=H","DateFormat=P","Fill=—","Direction=H","UseDPDF=Y")</f>
        <v>3308</v>
      </c>
      <c r="AJ46" s="16">
        <f>_xll.BDH("AMZN US Equity","BS_TOT_LIAB2","FQ2 2007","FQ2 2007","Currency=USD","Period=FQ","BEST_FPERIOD_OVERRIDE=FQ","FILING_STATUS=OR","SCALING_FORMAT=MLN","Sort=A","Dates=H","DateFormat=P","Fill=—","Direction=H","UseDPDF=Y")</f>
        <v>3434</v>
      </c>
      <c r="AK46" s="16">
        <f>_xll.BDH("AMZN US Equity","BS_TOT_LIAB2","FQ3 2007","FQ3 2007","Currency=USD","Period=FQ","BEST_FPERIOD_OVERRIDE=FQ","FILING_STATUS=OR","SCALING_FORMAT=MLN","Sort=A","Dates=H","DateFormat=P","Fill=—","Direction=H","UseDPDF=Y")</f>
        <v>3857</v>
      </c>
      <c r="AL46" s="16">
        <f>_xll.BDH("AMZN US Equity","BS_TOT_LIAB2","FQ4 2007","FQ4 2007","Currency=USD","Period=FQ","BEST_FPERIOD_OVERRIDE=FQ","FILING_STATUS=OR","SCALING_FORMAT=MLN","Sort=A","Dates=H","DateFormat=P","Fill=—","Direction=H","UseDPDF=Y")</f>
        <v>5288</v>
      </c>
      <c r="AM46" s="16">
        <f>_xll.BDH("AMZN US Equity","BS_TOT_LIAB2","FQ1 2008","FQ1 2008","Currency=USD","Period=FQ","BEST_FPERIOD_OVERRIDE=FQ","FILING_STATUS=OR","SCALING_FORMAT=MLN","Sort=A","Dates=H","DateFormat=P","Fill=—","Direction=H","UseDPDF=Y")</f>
        <v>4413</v>
      </c>
      <c r="AN46" s="16">
        <f>_xll.BDH("AMZN US Equity","BS_TOT_LIAB2","FQ2 2008","FQ2 2008","Currency=USD","Period=FQ","BEST_FPERIOD_OVERRIDE=FQ","FILING_STATUS=OR","SCALING_FORMAT=MLN","Sort=A","Dates=H","DateFormat=P","Fill=—","Direction=H","UseDPDF=Y")</f>
        <v>4092</v>
      </c>
      <c r="AO46" s="16">
        <f>_xll.BDH("AMZN US Equity","BS_TOT_LIAB2","FQ3 2008","FQ3 2008","Currency=USD","Period=FQ","BEST_FPERIOD_OVERRIDE=FQ","FILING_STATUS=OR","SCALING_FORMAT=MLN","Sort=A","Dates=H","DateFormat=P","Fill=—","Direction=H","UseDPDF=Y")</f>
        <v>4039</v>
      </c>
      <c r="AP46" s="16">
        <f>_xll.BDH("AMZN US Equity","BS_TOT_LIAB2","FQ4 2008","FQ4 2008","Currency=USD","Period=FQ","BEST_FPERIOD_OVERRIDE=FQ","FILING_STATUS=OR","SCALING_FORMAT=MLN","Sort=A","Dates=H","DateFormat=P","Fill=—","Direction=H","UseDPDF=Y")</f>
        <v>5642</v>
      </c>
    </row>
    <row r="47" spans="1:42" x14ac:dyDescent="0.25">
      <c r="A47" s="10" t="s">
        <v>256</v>
      </c>
      <c r="B47" s="10" t="s">
        <v>257</v>
      </c>
      <c r="C47" s="13">
        <f>_xll.BDH("AMZN US Equity","BS_PFD_EQTY_&amp;_HYBRID_CPTL","FQ4 1998","FQ4 1998","Currency=USD","Period=FQ","BEST_FPERIOD_OVERRIDE=FQ","FILING_STATUS=OR","SCALING_FORMAT=MLN","Sort=A","Dates=H","DateFormat=P","Fill=—","Direction=H","UseDPDF=Y")</f>
        <v>0</v>
      </c>
      <c r="D47" s="13">
        <f>_xll.BDH("AMZN US Equity","BS_PFD_EQTY_&amp;_HYBRID_CPTL","FQ1 1999","FQ1 1999","Currency=USD","Period=FQ","BEST_FPERIOD_OVERRIDE=FQ","FILING_STATUS=OR","SCALING_FORMAT=MLN","Sort=A","Dates=H","DateFormat=P","Fill=—","Direction=H","UseDPDF=Y")</f>
        <v>0</v>
      </c>
      <c r="E47" s="13">
        <f>_xll.BDH("AMZN US Equity","BS_PFD_EQTY_&amp;_HYBRID_CPTL","FQ2 1999","FQ2 1999","Currency=USD","Period=FQ","BEST_FPERIOD_OVERRIDE=FQ","FILING_STATUS=OR","SCALING_FORMAT=MLN","Sort=A","Dates=H","DateFormat=P","Fill=—","Direction=H","UseDPDF=Y")</f>
        <v>0</v>
      </c>
      <c r="F47" s="13">
        <f>_xll.BDH("AMZN US Equity","BS_PFD_EQTY_&amp;_HYBRID_CPTL","FQ3 1999","FQ3 1999","Currency=USD","Period=FQ","BEST_FPERIOD_OVERRIDE=FQ","FILING_STATUS=OR","SCALING_FORMAT=MLN","Sort=A","Dates=H","DateFormat=P","Fill=—","Direction=H","UseDPDF=Y")</f>
        <v>0</v>
      </c>
      <c r="G47" s="13">
        <f>_xll.BDH("AMZN US Equity","BS_PFD_EQTY_&amp;_HYBRID_CPTL","FQ4 1999","FQ4 1999","Currency=USD","Period=FQ","BEST_FPERIOD_OVERRIDE=FQ","FILING_STATUS=OR","SCALING_FORMAT=MLN","Sort=A","Dates=H","DateFormat=P","Fill=—","Direction=H","UseDPDF=Y")</f>
        <v>0</v>
      </c>
      <c r="H47" s="13">
        <f>_xll.BDH("AMZN US Equity","BS_PFD_EQTY_&amp;_HYBRID_CPTL","FQ1 2000","FQ1 2000","Currency=USD","Period=FQ","BEST_FPERIOD_OVERRIDE=FQ","FILING_STATUS=OR","SCALING_FORMAT=MLN","Sort=A","Dates=H","DateFormat=P","Fill=—","Direction=H","UseDPDF=Y")</f>
        <v>0</v>
      </c>
      <c r="I47" s="13">
        <f>_xll.BDH("AMZN US Equity","BS_PFD_EQTY_&amp;_HYBRID_CPTL","FQ3 2000","FQ3 2000","Currency=USD","Period=FQ","BEST_FPERIOD_OVERRIDE=FQ","FILING_STATUS=OR","SCALING_FORMAT=MLN","Sort=A","Dates=H","DateFormat=P","Fill=—","Direction=H","UseDPDF=Y")</f>
        <v>0</v>
      </c>
      <c r="J47" s="13">
        <f>_xll.BDH("AMZN US Equity","BS_PFD_EQTY_&amp;_HYBRID_CPTL","FQ4 2000","FQ4 2000","Currency=USD","Period=FQ","BEST_FPERIOD_OVERRIDE=FQ","FILING_STATUS=OR","SCALING_FORMAT=MLN","Sort=A","Dates=H","DateFormat=P","Fill=—","Direction=H","UseDPDF=Y")</f>
        <v>0</v>
      </c>
      <c r="K47" s="13">
        <f>_xll.BDH("AMZN US Equity","BS_PFD_EQTY_&amp;_HYBRID_CPTL","FQ1 2001","FQ1 2001","Currency=USD","Period=FQ","BEST_FPERIOD_OVERRIDE=FQ","FILING_STATUS=OR","SCALING_FORMAT=MLN","Sort=A","Dates=H","DateFormat=P","Fill=—","Direction=H","UseDPDF=Y")</f>
        <v>0</v>
      </c>
      <c r="L47" s="13">
        <f>_xll.BDH("AMZN US Equity","BS_PFD_EQTY_&amp;_HYBRID_CPTL","FQ2 2001","FQ2 2001","Currency=USD","Period=FQ","BEST_FPERIOD_OVERRIDE=FQ","FILING_STATUS=OR","SCALING_FORMAT=MLN","Sort=A","Dates=H","DateFormat=P","Fill=—","Direction=H","UseDPDF=Y")</f>
        <v>0</v>
      </c>
      <c r="M47" s="13">
        <f>_xll.BDH("AMZN US Equity","BS_PFD_EQTY_&amp;_HYBRID_CPTL","FQ3 2001","FQ3 2001","Currency=USD","Period=FQ","BEST_FPERIOD_OVERRIDE=FQ","FILING_STATUS=OR","SCALING_FORMAT=MLN","Sort=A","Dates=H","DateFormat=P","Fill=—","Direction=H","UseDPDF=Y")</f>
        <v>0</v>
      </c>
      <c r="N47" s="13">
        <f>_xll.BDH("AMZN US Equity","BS_PFD_EQTY_&amp;_HYBRID_CPTL","FQ4 2001","FQ4 2001","Currency=USD","Period=FQ","BEST_FPERIOD_OVERRIDE=FQ","FILING_STATUS=OR","SCALING_FORMAT=MLN","Sort=A","Dates=H","DateFormat=P","Fill=—","Direction=H","UseDPDF=Y")</f>
        <v>0</v>
      </c>
      <c r="O47" s="13">
        <f>_xll.BDH("AMZN US Equity","BS_PFD_EQTY_&amp;_HYBRID_CPTL","FQ1 2002","FQ1 2002","Currency=USD","Period=FQ","BEST_FPERIOD_OVERRIDE=FQ","FILING_STATUS=OR","SCALING_FORMAT=MLN","Sort=A","Dates=H","DateFormat=P","Fill=—","Direction=H","UseDPDF=Y")</f>
        <v>0</v>
      </c>
      <c r="P47" s="13">
        <f>_xll.BDH("AMZN US Equity","BS_PFD_EQTY_&amp;_HYBRID_CPTL","FQ2 2002","FQ2 2002","Currency=USD","Period=FQ","BEST_FPERIOD_OVERRIDE=FQ","FILING_STATUS=OR","SCALING_FORMAT=MLN","Sort=A","Dates=H","DateFormat=P","Fill=—","Direction=H","UseDPDF=Y")</f>
        <v>0</v>
      </c>
      <c r="Q47" s="13">
        <f>_xll.BDH("AMZN US Equity","BS_PFD_EQTY_&amp;_HYBRID_CPTL","FQ3 2002","FQ3 2002","Currency=USD","Period=FQ","BEST_FPERIOD_OVERRIDE=FQ","FILING_STATUS=OR","SCALING_FORMAT=MLN","Sort=A","Dates=H","DateFormat=P","Fill=—","Direction=H","UseDPDF=Y")</f>
        <v>0</v>
      </c>
      <c r="R47" s="13">
        <f>_xll.BDH("AMZN US Equity","BS_PFD_EQTY_&amp;_HYBRID_CPTL","FQ4 2002","FQ4 2002","Currency=USD","Period=FQ","BEST_FPERIOD_OVERRIDE=FQ","FILING_STATUS=OR","SCALING_FORMAT=MLN","Sort=A","Dates=H","DateFormat=P","Fill=—","Direction=H","UseDPDF=Y")</f>
        <v>0</v>
      </c>
      <c r="S47" s="13">
        <f>_xll.BDH("AMZN US Equity","BS_PFD_EQTY_&amp;_HYBRID_CPTL","FQ1 2003","FQ1 2003","Currency=USD","Period=FQ","BEST_FPERIOD_OVERRIDE=FQ","FILING_STATUS=OR","SCALING_FORMAT=MLN","Sort=A","Dates=H","DateFormat=P","Fill=—","Direction=H","UseDPDF=Y")</f>
        <v>0</v>
      </c>
      <c r="T47" s="13">
        <f>_xll.BDH("AMZN US Equity","BS_PFD_EQTY_&amp;_HYBRID_CPTL","FQ2 2003","FQ2 2003","Currency=USD","Period=FQ","BEST_FPERIOD_OVERRIDE=FQ","FILING_STATUS=OR","SCALING_FORMAT=MLN","Sort=A","Dates=H","DateFormat=P","Fill=—","Direction=H","UseDPDF=Y")</f>
        <v>0</v>
      </c>
      <c r="U47" s="13">
        <f>_xll.BDH("AMZN US Equity","BS_PFD_EQTY_&amp;_HYBRID_CPTL","FQ3 2003","FQ3 2003","Currency=USD","Period=FQ","BEST_FPERIOD_OVERRIDE=FQ","FILING_STATUS=OR","SCALING_FORMAT=MLN","Sort=A","Dates=H","DateFormat=P","Fill=—","Direction=H","UseDPDF=Y")</f>
        <v>0</v>
      </c>
      <c r="V47" s="13">
        <f>_xll.BDH("AMZN US Equity","BS_PFD_EQTY_&amp;_HYBRID_CPTL","FQ4 2003","FQ4 2003","Currency=USD","Period=FQ","BEST_FPERIOD_OVERRIDE=FQ","FILING_STATUS=OR","SCALING_FORMAT=MLN","Sort=A","Dates=H","DateFormat=P","Fill=—","Direction=H","UseDPDF=Y")</f>
        <v>0</v>
      </c>
      <c r="W47" s="13">
        <f>_xll.BDH("AMZN US Equity","BS_PFD_EQTY_&amp;_HYBRID_CPTL","FQ1 2004","FQ1 2004","Currency=USD","Period=FQ","BEST_FPERIOD_OVERRIDE=FQ","FILING_STATUS=OR","SCALING_FORMAT=MLN","Sort=A","Dates=H","DateFormat=P","Fill=—","Direction=H","UseDPDF=Y")</f>
        <v>0</v>
      </c>
      <c r="X47" s="13">
        <f>_xll.BDH("AMZN US Equity","BS_PFD_EQTY_&amp;_HYBRID_CPTL","FQ2 2004","FQ2 2004","Currency=USD","Period=FQ","BEST_FPERIOD_OVERRIDE=FQ","FILING_STATUS=OR","SCALING_FORMAT=MLN","Sort=A","Dates=H","DateFormat=P","Fill=—","Direction=H","UseDPDF=Y")</f>
        <v>0</v>
      </c>
      <c r="Y47" s="13">
        <f>_xll.BDH("AMZN US Equity","BS_PFD_EQTY_&amp;_HYBRID_CPTL","FQ3 2004","FQ3 2004","Currency=USD","Period=FQ","BEST_FPERIOD_OVERRIDE=FQ","FILING_STATUS=OR","SCALING_FORMAT=MLN","Sort=A","Dates=H","DateFormat=P","Fill=—","Direction=H","UseDPDF=Y")</f>
        <v>0</v>
      </c>
      <c r="Z47" s="13">
        <f>_xll.BDH("AMZN US Equity","BS_PFD_EQTY_&amp;_HYBRID_CPTL","FQ4 2004","FQ4 2004","Currency=USD","Period=FQ","BEST_FPERIOD_OVERRIDE=FQ","FILING_STATUS=OR","SCALING_FORMAT=MLN","Sort=A","Dates=H","DateFormat=P","Fill=—","Direction=H","UseDPDF=Y")</f>
        <v>0</v>
      </c>
      <c r="AA47" s="13">
        <f>_xll.BDH("AMZN US Equity","BS_PFD_EQTY_&amp;_HYBRID_CPTL","FQ1 2005","FQ1 2005","Currency=USD","Period=FQ","BEST_FPERIOD_OVERRIDE=FQ","FILING_STATUS=OR","SCALING_FORMAT=MLN","Sort=A","Dates=H","DateFormat=P","Fill=—","Direction=H","UseDPDF=Y")</f>
        <v>0</v>
      </c>
      <c r="AB47" s="13">
        <f>_xll.BDH("AMZN US Equity","BS_PFD_EQTY_&amp;_HYBRID_CPTL","FQ2 2005","FQ2 2005","Currency=USD","Period=FQ","BEST_FPERIOD_OVERRIDE=FQ","FILING_STATUS=OR","SCALING_FORMAT=MLN","Sort=A","Dates=H","DateFormat=P","Fill=—","Direction=H","UseDPDF=Y")</f>
        <v>0</v>
      </c>
      <c r="AC47" s="13">
        <f>_xll.BDH("AMZN US Equity","BS_PFD_EQTY_&amp;_HYBRID_CPTL","FQ3 2005","FQ3 2005","Currency=USD","Period=FQ","BEST_FPERIOD_OVERRIDE=FQ","FILING_STATUS=OR","SCALING_FORMAT=MLN","Sort=A","Dates=H","DateFormat=P","Fill=—","Direction=H","UseDPDF=Y")</f>
        <v>0</v>
      </c>
      <c r="AD47" s="13">
        <f>_xll.BDH("AMZN US Equity","BS_PFD_EQTY_&amp;_HYBRID_CPTL","FQ4 2005","FQ4 2005","Currency=USD","Period=FQ","BEST_FPERIOD_OVERRIDE=FQ","FILING_STATUS=OR","SCALING_FORMAT=MLN","Sort=A","Dates=H","DateFormat=P","Fill=—","Direction=H","UseDPDF=Y")</f>
        <v>0</v>
      </c>
      <c r="AE47" s="13">
        <f>_xll.BDH("AMZN US Equity","BS_PFD_EQTY_&amp;_HYBRID_CPTL","FQ1 2006","FQ1 2006","Currency=USD","Period=FQ","BEST_FPERIOD_OVERRIDE=FQ","FILING_STATUS=OR","SCALING_FORMAT=MLN","Sort=A","Dates=H","DateFormat=P","Fill=—","Direction=H","UseDPDF=Y")</f>
        <v>0</v>
      </c>
      <c r="AF47" s="13">
        <f>_xll.BDH("AMZN US Equity","BS_PFD_EQTY_&amp;_HYBRID_CPTL","FQ2 2006","FQ2 2006","Currency=USD","Period=FQ","BEST_FPERIOD_OVERRIDE=FQ","FILING_STATUS=OR","SCALING_FORMAT=MLN","Sort=A","Dates=H","DateFormat=P","Fill=—","Direction=H","UseDPDF=Y")</f>
        <v>0</v>
      </c>
      <c r="AG47" s="13">
        <f>_xll.BDH("AMZN US Equity","BS_PFD_EQTY_&amp;_HYBRID_CPTL","FQ3 2006","FQ3 2006","Currency=USD","Period=FQ","BEST_FPERIOD_OVERRIDE=FQ","FILING_STATUS=OR","SCALING_FORMAT=MLN","Sort=A","Dates=H","DateFormat=P","Fill=—","Direction=H","UseDPDF=Y")</f>
        <v>0</v>
      </c>
      <c r="AH47" s="13">
        <f>_xll.BDH("AMZN US Equity","BS_PFD_EQTY_&amp;_HYBRID_CPTL","FQ4 2006","FQ4 2006","Currency=USD","Period=FQ","BEST_FPERIOD_OVERRIDE=FQ","FILING_STATUS=OR","SCALING_FORMAT=MLN","Sort=A","Dates=H","DateFormat=P","Fill=—","Direction=H","UseDPDF=Y")</f>
        <v>0</v>
      </c>
      <c r="AI47" s="13">
        <f>_xll.BDH("AMZN US Equity","BS_PFD_EQTY_&amp;_HYBRID_CPTL","FQ1 2007","FQ1 2007","Currency=USD","Period=FQ","BEST_FPERIOD_OVERRIDE=FQ","FILING_STATUS=OR","SCALING_FORMAT=MLN","Sort=A","Dates=H","DateFormat=P","Fill=—","Direction=H","UseDPDF=Y")</f>
        <v>0</v>
      </c>
      <c r="AJ47" s="13">
        <f>_xll.BDH("AMZN US Equity","BS_PFD_EQTY_&amp;_HYBRID_CPTL","FQ2 2007","FQ2 2007","Currency=USD","Period=FQ","BEST_FPERIOD_OVERRIDE=FQ","FILING_STATUS=OR","SCALING_FORMAT=MLN","Sort=A","Dates=H","DateFormat=P","Fill=—","Direction=H","UseDPDF=Y")</f>
        <v>0</v>
      </c>
      <c r="AK47" s="13">
        <f>_xll.BDH("AMZN US Equity","BS_PFD_EQTY_&amp;_HYBRID_CPTL","FQ3 2007","FQ3 2007","Currency=USD","Period=FQ","BEST_FPERIOD_OVERRIDE=FQ","FILING_STATUS=OR","SCALING_FORMAT=MLN","Sort=A","Dates=H","DateFormat=P","Fill=—","Direction=H","UseDPDF=Y")</f>
        <v>0</v>
      </c>
      <c r="AL47" s="13">
        <f>_xll.BDH("AMZN US Equity","BS_PFD_EQTY_&amp;_HYBRID_CPTL","FQ4 2007","FQ4 2007","Currency=USD","Period=FQ","BEST_FPERIOD_OVERRIDE=FQ","FILING_STATUS=OR","SCALING_FORMAT=MLN","Sort=A","Dates=H","DateFormat=P","Fill=—","Direction=H","UseDPDF=Y")</f>
        <v>0</v>
      </c>
      <c r="AM47" s="13">
        <f>_xll.BDH("AMZN US Equity","BS_PFD_EQTY_&amp;_HYBRID_CPTL","FQ1 2008","FQ1 2008","Currency=USD","Period=FQ","BEST_FPERIOD_OVERRIDE=FQ","FILING_STATUS=OR","SCALING_FORMAT=MLN","Sort=A","Dates=H","DateFormat=P","Fill=—","Direction=H","UseDPDF=Y")</f>
        <v>0</v>
      </c>
      <c r="AN47" s="13">
        <f>_xll.BDH("AMZN US Equity","BS_PFD_EQTY_&amp;_HYBRID_CPTL","FQ2 2008","FQ2 2008","Currency=USD","Period=FQ","BEST_FPERIOD_OVERRIDE=FQ","FILING_STATUS=OR","SCALING_FORMAT=MLN","Sort=A","Dates=H","DateFormat=P","Fill=—","Direction=H","UseDPDF=Y")</f>
        <v>0</v>
      </c>
      <c r="AO47" s="13">
        <f>_xll.BDH("AMZN US Equity","BS_PFD_EQTY_&amp;_HYBRID_CPTL","FQ3 2008","FQ3 2008","Currency=USD","Period=FQ","BEST_FPERIOD_OVERRIDE=FQ","FILING_STATUS=OR","SCALING_FORMAT=MLN","Sort=A","Dates=H","DateFormat=P","Fill=—","Direction=H","UseDPDF=Y")</f>
        <v>0</v>
      </c>
      <c r="AP47" s="13" t="str">
        <f>_xll.BDH("AMZN US Equity","BS_PFD_EQTY_&amp;_HYBRID_CPTL","FQ4 2008","FQ4 2008","Currency=USD","Period=FQ","BEST_FPERIOD_OVERRIDE=FQ","FILING_STATUS=OR","SCALING_FORMAT=MLN","Sort=A","Dates=H","DateFormat=P","Fill=—","Direction=H","UseDPDF=Y")</f>
        <v>—</v>
      </c>
    </row>
    <row r="48" spans="1:42" x14ac:dyDescent="0.25">
      <c r="A48" s="10" t="s">
        <v>258</v>
      </c>
      <c r="B48" s="10" t="s">
        <v>259</v>
      </c>
      <c r="C48" s="13">
        <f>_xll.BDH("AMZN US Equity","BS_SH_CAP_AND_APIC","FQ4 1998","FQ4 1998","Currency=USD","Period=FQ","BEST_FPERIOD_OVERRIDE=FQ","FILING_STATUS=OR","SCALING_FORMAT=MLN","Sort=A","Dates=H","DateFormat=P","Fill=—","Direction=H","UseDPDF=Y")</f>
        <v>301.72300000000001</v>
      </c>
      <c r="D48" s="13">
        <f>_xll.BDH("AMZN US Equity","BS_SH_CAP_AND_APIC","FQ1 1999","FQ1 1999","Currency=USD","Period=FQ","BEST_FPERIOD_OVERRIDE=FQ","FILING_STATUS=OR","SCALING_FORMAT=MLN","Sort=A","Dates=H","DateFormat=P","Fill=—","Direction=H","UseDPDF=Y")</f>
        <v>308.02800000000002</v>
      </c>
      <c r="E48" s="13">
        <f>_xll.BDH("AMZN US Equity","BS_SH_CAP_AND_APIC","FQ2 1999","FQ2 1999","Currency=USD","Period=FQ","BEST_FPERIOD_OVERRIDE=FQ","FILING_STATUS=OR","SCALING_FORMAT=MLN","Sort=A","Dates=H","DateFormat=P","Fill=—","Direction=H","UseDPDF=Y")</f>
        <v>981.10599999999999</v>
      </c>
      <c r="F48" s="13">
        <f>_xll.BDH("AMZN US Equity","BS_SH_CAP_AND_APIC","FQ3 1999","FQ3 1999","Currency=USD","Period=FQ","BEST_FPERIOD_OVERRIDE=FQ","FILING_STATUS=OR","SCALING_FORMAT=MLN","Sort=A","Dates=H","DateFormat=P","Fill=—","Direction=H","UseDPDF=Y")</f>
        <v>1031.048</v>
      </c>
      <c r="G48" s="13">
        <f>_xll.BDH("AMZN US Equity","BS_SH_CAP_AND_APIC","FQ4 1999","FQ4 1999","Currency=USD","Period=FQ","BEST_FPERIOD_OVERRIDE=FQ","FILING_STATUS=OR","SCALING_FORMAT=MLN","Sort=A","Dates=H","DateFormat=P","Fill=—","Direction=H","UseDPDF=Y")</f>
        <v>1198.9919</v>
      </c>
      <c r="H48" s="13">
        <f>_xll.BDH("AMZN US Equity","BS_SH_CAP_AND_APIC","FQ1 2000","FQ1 2000","Currency=USD","Period=FQ","BEST_FPERIOD_OVERRIDE=FQ","FILING_STATUS=OR","SCALING_FORMAT=MLN","Sort=A","Dates=H","DateFormat=P","Fill=—","Direction=H","UseDPDF=Y")</f>
        <v>1297.261</v>
      </c>
      <c r="I48" s="13">
        <f>_xll.BDH("AMZN US Equity","BS_SH_CAP_AND_APIC","FQ3 2000","FQ3 2000","Currency=USD","Period=FQ","BEST_FPERIOD_OVERRIDE=FQ","FILING_STATUS=OR","SCALING_FORMAT=MLN","Sort=A","Dates=H","DateFormat=P","Fill=—","Direction=H","UseDPDF=Y")</f>
        <v>1346.135</v>
      </c>
      <c r="J48" s="13">
        <f>_xll.BDH("AMZN US Equity","BS_SH_CAP_AND_APIC","FQ4 2000","FQ4 2000","Currency=USD","Period=FQ","BEST_FPERIOD_OVERRIDE=FQ","FILING_STATUS=OR","SCALING_FORMAT=MLN","Sort=A","Dates=H","DateFormat=P","Fill=—","Direction=H","UseDPDF=Y")</f>
        <v>1341.874</v>
      </c>
      <c r="K48" s="13">
        <f>_xll.BDH("AMZN US Equity","BS_SH_CAP_AND_APIC","FQ1 2001","FQ1 2001","Currency=USD","Period=FQ","BEST_FPERIOD_OVERRIDE=FQ","FILING_STATUS=OR","SCALING_FORMAT=MLN","Sort=A","Dates=H","DateFormat=P","Fill=—","Direction=H","UseDPDF=Y")</f>
        <v>1347.671</v>
      </c>
      <c r="L48" s="13">
        <f>_xll.BDH("AMZN US Equity","BS_SH_CAP_AND_APIC","FQ2 2001","FQ2 2001","Currency=USD","Period=FQ","BEST_FPERIOD_OVERRIDE=FQ","FILING_STATUS=OR","SCALING_FORMAT=MLN","Sort=A","Dates=H","DateFormat=P","Fill=—","Direction=H","UseDPDF=Y")</f>
        <v>1359.838</v>
      </c>
      <c r="M48" s="13">
        <f>_xll.BDH("AMZN US Equity","BS_SH_CAP_AND_APIC","FQ3 2001","FQ3 2001","Currency=USD","Period=FQ","BEST_FPERIOD_OVERRIDE=FQ","FILING_STATUS=OR","SCALING_FORMAT=MLN","Sort=A","Dates=H","DateFormat=P","Fill=—","Direction=H","UseDPDF=Y")</f>
        <v>1459.4110000000001</v>
      </c>
      <c r="N48" s="13">
        <f>_xll.BDH("AMZN US Equity","BS_SH_CAP_AND_APIC","FQ4 2001","FQ4 2001","Currency=USD","Period=FQ","BEST_FPERIOD_OVERRIDE=FQ","FILING_STATUS=OR","SCALING_FORMAT=MLN","Sort=A","Dates=H","DateFormat=P","Fill=—","Direction=H","UseDPDF=Y")</f>
        <v>1466.501</v>
      </c>
      <c r="O48" s="13">
        <f>_xll.BDH("AMZN US Equity","BS_SH_CAP_AND_APIC","FQ1 2002","FQ1 2002","Currency=USD","Period=FQ","BEST_FPERIOD_OVERRIDE=FQ","FILING_STATUS=OR","SCALING_FORMAT=MLN","Sort=A","Dates=H","DateFormat=P","Fill=—","Direction=H","UseDPDF=Y")</f>
        <v>1484.6859999999999</v>
      </c>
      <c r="P48" s="13">
        <f>_xll.BDH("AMZN US Equity","BS_SH_CAP_AND_APIC","FQ2 2002","FQ2 2002","Currency=USD","Period=FQ","BEST_FPERIOD_OVERRIDE=FQ","FILING_STATUS=OR","SCALING_FORMAT=MLN","Sort=A","Dates=H","DateFormat=P","Fill=—","Direction=H","UseDPDF=Y")</f>
        <v>1550.7439999999999</v>
      </c>
      <c r="Q48" s="13">
        <f>_xll.BDH("AMZN US Equity","BS_SH_CAP_AND_APIC","FQ3 2002","FQ3 2002","Currency=USD","Period=FQ","BEST_FPERIOD_OVERRIDE=FQ","FILING_STATUS=OR","SCALING_FORMAT=MLN","Sort=A","Dates=H","DateFormat=P","Fill=—","Direction=H","UseDPDF=Y")</f>
        <v>1553.9301</v>
      </c>
      <c r="R48" s="13">
        <f>_xll.BDH("AMZN US Equity","BS_SH_CAP_AND_APIC","FQ4 2002","FQ4 2002","Currency=USD","Period=FQ","BEST_FPERIOD_OVERRIDE=FQ","FILING_STATUS=OR","SCALING_FORMAT=MLN","Sort=A","Dates=H","DateFormat=P","Fill=—","Direction=H","UseDPDF=Y")</f>
        <v>1653.825</v>
      </c>
      <c r="S48" s="13">
        <f>_xll.BDH("AMZN US Equity","BS_SH_CAP_AND_APIC","FQ1 2003","FQ1 2003","Currency=USD","Period=FQ","BEST_FPERIOD_OVERRIDE=FQ","FILING_STATUS=OR","SCALING_FORMAT=MLN","Sort=A","Dates=H","DateFormat=P","Fill=—","Direction=H","UseDPDF=Y")</f>
        <v>1718.5319999999999</v>
      </c>
      <c r="T48" s="13">
        <f>_xll.BDH("AMZN US Equity","BS_SH_CAP_AND_APIC","FQ2 2003","FQ2 2003","Currency=USD","Period=FQ","BEST_FPERIOD_OVERRIDE=FQ","FILING_STATUS=OR","SCALING_FORMAT=MLN","Sort=A","Dates=H","DateFormat=P","Fill=—","Direction=H","UseDPDF=Y")</f>
        <v>1794.8019999999999</v>
      </c>
      <c r="U48" s="13">
        <f>_xll.BDH("AMZN US Equity","BS_SH_CAP_AND_APIC","FQ3 2003","FQ3 2003","Currency=USD","Period=FQ","BEST_FPERIOD_OVERRIDE=FQ","FILING_STATUS=OR","SCALING_FORMAT=MLN","Sort=A","Dates=H","DateFormat=P","Fill=—","Direction=H","UseDPDF=Y")</f>
        <v>1856.3119999999999</v>
      </c>
      <c r="V48" s="13">
        <f>_xll.BDH("AMZN US Equity","BS_SH_CAP_AND_APIC","FQ4 2003","FQ4 2003","Currency=USD","Period=FQ","BEST_FPERIOD_OVERRIDE=FQ","FILING_STATUS=OR","SCALING_FORMAT=MLN","Sort=A","Dates=H","DateFormat=P","Fill=—","Direction=H","UseDPDF=Y")</f>
        <v>1903.432</v>
      </c>
      <c r="W48" s="13">
        <f>_xll.BDH("AMZN US Equity","BS_SH_CAP_AND_APIC","FQ1 2004","FQ1 2004","Currency=USD","Period=FQ","BEST_FPERIOD_OVERRIDE=FQ","FILING_STATUS=OR","SCALING_FORMAT=MLN","Sort=A","Dates=H","DateFormat=P","Fill=—","Direction=H","UseDPDF=Y")</f>
        <v>1927.15</v>
      </c>
      <c r="X48" s="13">
        <f>_xll.BDH("AMZN US Equity","BS_SH_CAP_AND_APIC","FQ2 2004","FQ2 2004","Currency=USD","Period=FQ","BEST_FPERIOD_OVERRIDE=FQ","FILING_STATUS=OR","SCALING_FORMAT=MLN","Sort=A","Dates=H","DateFormat=P","Fill=—","Direction=H","UseDPDF=Y")</f>
        <v>1968.4091000000001</v>
      </c>
      <c r="Y48" s="13">
        <f>_xll.BDH("AMZN US Equity","BS_SH_CAP_AND_APIC","FQ3 2004","FQ3 2004","Currency=USD","Period=FQ","BEST_FPERIOD_OVERRIDE=FQ","FILING_STATUS=OR","SCALING_FORMAT=MLN","Sort=A","Dates=H","DateFormat=P","Fill=—","Direction=H","UseDPDF=Y")</f>
        <v>1985.7339999999999</v>
      </c>
      <c r="Z48" s="13">
        <f>_xll.BDH("AMZN US Equity","BS_SH_CAP_AND_APIC","FQ4 2004","FQ4 2004","Currency=USD","Period=FQ","BEST_FPERIOD_OVERRIDE=FQ","FILING_STATUS=OR","SCALING_FORMAT=MLN","Sort=A","Dates=H","DateFormat=P","Fill=—","Direction=H","UseDPDF=Y")</f>
        <v>2128.6950999999999</v>
      </c>
      <c r="AA48" s="13">
        <f>_xll.BDH("AMZN US Equity","BS_SH_CAP_AND_APIC","FQ1 2005","FQ1 2005","Currency=USD","Period=FQ","BEST_FPERIOD_OVERRIDE=FQ","FILING_STATUS=OR","SCALING_FORMAT=MLN","Sort=A","Dates=H","DateFormat=P","Fill=—","Direction=H","UseDPDF=Y")</f>
        <v>2122</v>
      </c>
      <c r="AB48" s="13">
        <f>_xll.BDH("AMZN US Equity","BS_SH_CAP_AND_APIC","FQ2 2005","FQ2 2005","Currency=USD","Period=FQ","BEST_FPERIOD_OVERRIDE=FQ","FILING_STATUS=OR","SCALING_FORMAT=MLN","Sort=A","Dates=H","DateFormat=P","Fill=—","Direction=H","UseDPDF=Y")</f>
        <v>2165</v>
      </c>
      <c r="AC48" s="13">
        <f>_xll.BDH("AMZN US Equity","BS_SH_CAP_AND_APIC","FQ3 2005","FQ3 2005","Currency=USD","Period=FQ","BEST_FPERIOD_OVERRIDE=FQ","FILING_STATUS=OR","SCALING_FORMAT=MLN","Sort=A","Dates=H","DateFormat=P","Fill=—","Direction=H","UseDPDF=Y")</f>
        <v>2219</v>
      </c>
      <c r="AD48" s="13">
        <f>_xll.BDH("AMZN US Equity","BS_SH_CAP_AND_APIC","FQ4 2005","FQ4 2005","Currency=USD","Period=FQ","BEST_FPERIOD_OVERRIDE=FQ","FILING_STATUS=OR","SCALING_FORMAT=MLN","Sort=A","Dates=H","DateFormat=P","Fill=—","Direction=H","UseDPDF=Y")</f>
        <v>2267</v>
      </c>
      <c r="AE48" s="13">
        <f>_xll.BDH("AMZN US Equity","BS_SH_CAP_AND_APIC","FQ1 2006","FQ1 2006","Currency=USD","Period=FQ","BEST_FPERIOD_OVERRIDE=FQ","FILING_STATUS=OR","SCALING_FORMAT=MLN","Sort=A","Dates=H","DateFormat=P","Fill=—","Direction=H","UseDPDF=Y")</f>
        <v>2291</v>
      </c>
      <c r="AF48" s="13">
        <f>_xll.BDH("AMZN US Equity","BS_SH_CAP_AND_APIC","FQ2 2006","FQ2 2006","Currency=USD","Period=FQ","BEST_FPERIOD_OVERRIDE=FQ","FILING_STATUS=OR","SCALING_FORMAT=MLN","Sort=A","Dates=H","DateFormat=P","Fill=—","Direction=H","UseDPDF=Y")</f>
        <v>2338</v>
      </c>
      <c r="AG48" s="13">
        <f>_xll.BDH("AMZN US Equity","BS_SH_CAP_AND_APIC","FQ3 2006","FQ3 2006","Currency=USD","Period=FQ","BEST_FPERIOD_OVERRIDE=FQ","FILING_STATUS=OR","SCALING_FORMAT=MLN","Sort=A","Dates=H","DateFormat=P","Fill=—","Direction=H","UseDPDF=Y")</f>
        <v>2381</v>
      </c>
      <c r="AH48" s="13">
        <f>_xll.BDH("AMZN US Equity","BS_SH_CAP_AND_APIC","FQ4 2006","FQ4 2006","Currency=USD","Period=FQ","BEST_FPERIOD_OVERRIDE=FQ","FILING_STATUS=OR","SCALING_FORMAT=MLN","Sort=A","Dates=H","DateFormat=P","Fill=—","Direction=H","UseDPDF=Y")</f>
        <v>2521</v>
      </c>
      <c r="AI48" s="13">
        <f>_xll.BDH("AMZN US Equity","BS_SH_CAP_AND_APIC","FQ1 2007","FQ1 2007","Currency=USD","Period=FQ","BEST_FPERIOD_OVERRIDE=FQ","FILING_STATUS=OR","SCALING_FORMAT=MLN","Sort=A","Dates=H","DateFormat=P","Fill=—","Direction=H","UseDPDF=Y")</f>
        <v>2590</v>
      </c>
      <c r="AJ48" s="13">
        <f>_xll.BDH("AMZN US Equity","BS_SH_CAP_AND_APIC","FQ2 2007","FQ2 2007","Currency=USD","Period=FQ","BEST_FPERIOD_OVERRIDE=FQ","FILING_STATUS=OR","SCALING_FORMAT=MLN","Sort=A","Dates=H","DateFormat=P","Fill=—","Direction=H","UseDPDF=Y")</f>
        <v>2708</v>
      </c>
      <c r="AK48" s="13">
        <f>_xll.BDH("AMZN US Equity","BS_SH_CAP_AND_APIC","FQ3 2007","FQ3 2007","Currency=USD","Period=FQ","BEST_FPERIOD_OVERRIDE=FQ","FILING_STATUS=OR","SCALING_FORMAT=MLN","Sort=A","Dates=H","DateFormat=P","Fill=—","Direction=H","UseDPDF=Y")</f>
        <v>2831</v>
      </c>
      <c r="AL48" s="13">
        <f>_xll.BDH("AMZN US Equity","BS_SH_CAP_AND_APIC","FQ4 2007","FQ4 2007","Currency=USD","Period=FQ","BEST_FPERIOD_OVERRIDE=FQ","FILING_STATUS=OR","SCALING_FORMAT=MLN","Sort=A","Dates=H","DateFormat=P","Fill=—","Direction=H","UseDPDF=Y")</f>
        <v>3067</v>
      </c>
      <c r="AM48" s="13">
        <f>_xll.BDH("AMZN US Equity","BS_SH_CAP_AND_APIC","FQ1 2008","FQ1 2008","Currency=USD","Period=FQ","BEST_FPERIOD_OVERRIDE=FQ","FILING_STATUS=OR","SCALING_FORMAT=MLN","Sort=A","Dates=H","DateFormat=P","Fill=—","Direction=H","UseDPDF=Y")</f>
        <v>3195</v>
      </c>
      <c r="AN48" s="13">
        <f>_xll.BDH("AMZN US Equity","BS_SH_CAP_AND_APIC","FQ2 2008","FQ2 2008","Currency=USD","Period=FQ","BEST_FPERIOD_OVERRIDE=FQ","FILING_STATUS=OR","SCALING_FORMAT=MLN","Sort=A","Dates=H","DateFormat=P","Fill=—","Direction=H","UseDPDF=Y")</f>
        <v>3798</v>
      </c>
      <c r="AO48" s="13">
        <f>_xll.BDH("AMZN US Equity","BS_SH_CAP_AND_APIC","FQ3 2008","FQ3 2008","Currency=USD","Period=FQ","BEST_FPERIOD_OVERRIDE=FQ","FILING_STATUS=OR","SCALING_FORMAT=MLN","Sort=A","Dates=H","DateFormat=P","Fill=—","Direction=H","UseDPDF=Y")</f>
        <v>4055</v>
      </c>
      <c r="AP48" s="13">
        <f>_xll.BDH("AMZN US Equity","BS_SH_CAP_AND_APIC","FQ4 2008","FQ4 2008","Currency=USD","Period=FQ","BEST_FPERIOD_OVERRIDE=FQ","FILING_STATUS=OR","SCALING_FORMAT=MLN","Sort=A","Dates=H","DateFormat=P","Fill=—","Direction=H","UseDPDF=Y")</f>
        <v>4125</v>
      </c>
    </row>
    <row r="49" spans="1:42" x14ac:dyDescent="0.25">
      <c r="A49" s="10" t="s">
        <v>260</v>
      </c>
      <c r="B49" s="10" t="s">
        <v>261</v>
      </c>
      <c r="C49" s="13">
        <f>_xll.BDH("AMZN US Equity","BS_AMT_OF_TSY_STOCK","FQ4 1998","FQ4 1998","Currency=USD","Period=FQ","BEST_FPERIOD_OVERRIDE=FQ","FILING_STATUS=OR","SCALING_FORMAT=MLN","Sort=A","Dates=H","DateFormat=P","Fill=—","Direction=H","UseDPDF=Y")</f>
        <v>0</v>
      </c>
      <c r="D49" s="13">
        <f>_xll.BDH("AMZN US Equity","BS_AMT_OF_TSY_STOCK","FQ1 1999","FQ1 1999","Currency=USD","Period=FQ","BEST_FPERIOD_OVERRIDE=FQ","FILING_STATUS=OR","SCALING_FORMAT=MLN","Sort=A","Dates=H","DateFormat=P","Fill=—","Direction=H","UseDPDF=Y")</f>
        <v>0</v>
      </c>
      <c r="E49" s="13">
        <f>_xll.BDH("AMZN US Equity","BS_AMT_OF_TSY_STOCK","FQ2 1999","FQ2 1999","Currency=USD","Period=FQ","BEST_FPERIOD_OVERRIDE=FQ","FILING_STATUS=OR","SCALING_FORMAT=MLN","Sort=A","Dates=H","DateFormat=P","Fill=—","Direction=H","UseDPDF=Y")</f>
        <v>0</v>
      </c>
      <c r="F49" s="13">
        <f>_xll.BDH("AMZN US Equity","BS_AMT_OF_TSY_STOCK","FQ3 1999","FQ3 1999","Currency=USD","Period=FQ","BEST_FPERIOD_OVERRIDE=FQ","FILING_STATUS=OR","SCALING_FORMAT=MLN","Sort=A","Dates=H","DateFormat=P","Fill=—","Direction=H","UseDPDF=Y")</f>
        <v>0</v>
      </c>
      <c r="G49" s="13">
        <f>_xll.BDH("AMZN US Equity","BS_AMT_OF_TSY_STOCK","FQ4 1999","FQ4 1999","Currency=USD","Period=FQ","BEST_FPERIOD_OVERRIDE=FQ","FILING_STATUS=OR","SCALING_FORMAT=MLN","Sort=A","Dates=H","DateFormat=P","Fill=—","Direction=H","UseDPDF=Y")</f>
        <v>0</v>
      </c>
      <c r="H49" s="13">
        <f>_xll.BDH("AMZN US Equity","BS_AMT_OF_TSY_STOCK","FQ1 2000","FQ1 2000","Currency=USD","Period=FQ","BEST_FPERIOD_OVERRIDE=FQ","FILING_STATUS=OR","SCALING_FORMAT=MLN","Sort=A","Dates=H","DateFormat=P","Fill=—","Direction=H","UseDPDF=Y")</f>
        <v>0</v>
      </c>
      <c r="I49" s="13">
        <f>_xll.BDH("AMZN US Equity","BS_AMT_OF_TSY_STOCK","FQ3 2000","FQ3 2000","Currency=USD","Period=FQ","BEST_FPERIOD_OVERRIDE=FQ","FILING_STATUS=OR","SCALING_FORMAT=MLN","Sort=A","Dates=H","DateFormat=P","Fill=—","Direction=H","UseDPDF=Y")</f>
        <v>0</v>
      </c>
      <c r="J49" s="13">
        <f>_xll.BDH("AMZN US Equity","BS_AMT_OF_TSY_STOCK","FQ4 2000","FQ4 2000","Currency=USD","Period=FQ","BEST_FPERIOD_OVERRIDE=FQ","FILING_STATUS=OR","SCALING_FORMAT=MLN","Sort=A","Dates=H","DateFormat=P","Fill=—","Direction=H","UseDPDF=Y")</f>
        <v>0</v>
      </c>
      <c r="K49" s="13">
        <f>_xll.BDH("AMZN US Equity","BS_AMT_OF_TSY_STOCK","FQ1 2001","FQ1 2001","Currency=USD","Period=FQ","BEST_FPERIOD_OVERRIDE=FQ","FILING_STATUS=OR","SCALING_FORMAT=MLN","Sort=A","Dates=H","DateFormat=P","Fill=—","Direction=H","UseDPDF=Y")</f>
        <v>0</v>
      </c>
      <c r="L49" s="13">
        <f>_xll.BDH("AMZN US Equity","BS_AMT_OF_TSY_STOCK","FQ2 2001","FQ2 2001","Currency=USD","Period=FQ","BEST_FPERIOD_OVERRIDE=FQ","FILING_STATUS=OR","SCALING_FORMAT=MLN","Sort=A","Dates=H","DateFormat=P","Fill=—","Direction=H","UseDPDF=Y")</f>
        <v>0</v>
      </c>
      <c r="M49" s="13">
        <f>_xll.BDH("AMZN US Equity","BS_AMT_OF_TSY_STOCK","FQ3 2001","FQ3 2001","Currency=USD","Period=FQ","BEST_FPERIOD_OVERRIDE=FQ","FILING_STATUS=OR","SCALING_FORMAT=MLN","Sort=A","Dates=H","DateFormat=P","Fill=—","Direction=H","UseDPDF=Y")</f>
        <v>0</v>
      </c>
      <c r="N49" s="13">
        <f>_xll.BDH("AMZN US Equity","BS_AMT_OF_TSY_STOCK","FQ4 2001","FQ4 2001","Currency=USD","Period=FQ","BEST_FPERIOD_OVERRIDE=FQ","FILING_STATUS=OR","SCALING_FORMAT=MLN","Sort=A","Dates=H","DateFormat=P","Fill=—","Direction=H","UseDPDF=Y")</f>
        <v>0</v>
      </c>
      <c r="O49" s="13">
        <f>_xll.BDH("AMZN US Equity","BS_AMT_OF_TSY_STOCK","FQ1 2002","FQ1 2002","Currency=USD","Period=FQ","BEST_FPERIOD_OVERRIDE=FQ","FILING_STATUS=OR","SCALING_FORMAT=MLN","Sort=A","Dates=H","DateFormat=P","Fill=—","Direction=H","UseDPDF=Y")</f>
        <v>0</v>
      </c>
      <c r="P49" s="13">
        <f>_xll.BDH("AMZN US Equity","BS_AMT_OF_TSY_STOCK","FQ2 2002","FQ2 2002","Currency=USD","Period=FQ","BEST_FPERIOD_OVERRIDE=FQ","FILING_STATUS=OR","SCALING_FORMAT=MLN","Sort=A","Dates=H","DateFormat=P","Fill=—","Direction=H","UseDPDF=Y")</f>
        <v>0</v>
      </c>
      <c r="Q49" s="13">
        <f>_xll.BDH("AMZN US Equity","BS_AMT_OF_TSY_STOCK","FQ3 2002","FQ3 2002","Currency=USD","Period=FQ","BEST_FPERIOD_OVERRIDE=FQ","FILING_STATUS=OR","SCALING_FORMAT=MLN","Sort=A","Dates=H","DateFormat=P","Fill=—","Direction=H","UseDPDF=Y")</f>
        <v>0</v>
      </c>
      <c r="R49" s="13">
        <f>_xll.BDH("AMZN US Equity","BS_AMT_OF_TSY_STOCK","FQ4 2002","FQ4 2002","Currency=USD","Period=FQ","BEST_FPERIOD_OVERRIDE=FQ","FILING_STATUS=OR","SCALING_FORMAT=MLN","Sort=A","Dates=H","DateFormat=P","Fill=—","Direction=H","UseDPDF=Y")</f>
        <v>0</v>
      </c>
      <c r="S49" s="13">
        <f>_xll.BDH("AMZN US Equity","BS_AMT_OF_TSY_STOCK","FQ1 2003","FQ1 2003","Currency=USD","Period=FQ","BEST_FPERIOD_OVERRIDE=FQ","FILING_STATUS=OR","SCALING_FORMAT=MLN","Sort=A","Dates=H","DateFormat=P","Fill=—","Direction=H","UseDPDF=Y")</f>
        <v>0</v>
      </c>
      <c r="T49" s="13">
        <f>_xll.BDH("AMZN US Equity","BS_AMT_OF_TSY_STOCK","FQ2 2003","FQ2 2003","Currency=USD","Period=FQ","BEST_FPERIOD_OVERRIDE=FQ","FILING_STATUS=OR","SCALING_FORMAT=MLN","Sort=A","Dates=H","DateFormat=P","Fill=—","Direction=H","UseDPDF=Y")</f>
        <v>0</v>
      </c>
      <c r="U49" s="13">
        <f>_xll.BDH("AMZN US Equity","BS_AMT_OF_TSY_STOCK","FQ3 2003","FQ3 2003","Currency=USD","Period=FQ","BEST_FPERIOD_OVERRIDE=FQ","FILING_STATUS=OR","SCALING_FORMAT=MLN","Sort=A","Dates=H","DateFormat=P","Fill=—","Direction=H","UseDPDF=Y")</f>
        <v>0</v>
      </c>
      <c r="V49" s="13">
        <f>_xll.BDH("AMZN US Equity","BS_AMT_OF_TSY_STOCK","FQ4 2003","FQ4 2003","Currency=USD","Period=FQ","BEST_FPERIOD_OVERRIDE=FQ","FILING_STATUS=OR","SCALING_FORMAT=MLN","Sort=A","Dates=H","DateFormat=P","Fill=—","Direction=H","UseDPDF=Y")</f>
        <v>0</v>
      </c>
      <c r="W49" s="13">
        <f>_xll.BDH("AMZN US Equity","BS_AMT_OF_TSY_STOCK","FQ1 2004","FQ1 2004","Currency=USD","Period=FQ","BEST_FPERIOD_OVERRIDE=FQ","FILING_STATUS=OR","SCALING_FORMAT=MLN","Sort=A","Dates=H","DateFormat=P","Fill=—","Direction=H","UseDPDF=Y")</f>
        <v>0</v>
      </c>
      <c r="X49" s="13">
        <f>_xll.BDH("AMZN US Equity","BS_AMT_OF_TSY_STOCK","FQ2 2004","FQ2 2004","Currency=USD","Period=FQ","BEST_FPERIOD_OVERRIDE=FQ","FILING_STATUS=OR","SCALING_FORMAT=MLN","Sort=A","Dates=H","DateFormat=P","Fill=—","Direction=H","UseDPDF=Y")</f>
        <v>0</v>
      </c>
      <c r="Y49" s="13">
        <f>_xll.BDH("AMZN US Equity","BS_AMT_OF_TSY_STOCK","FQ3 2004","FQ3 2004","Currency=USD","Period=FQ","BEST_FPERIOD_OVERRIDE=FQ","FILING_STATUS=OR","SCALING_FORMAT=MLN","Sort=A","Dates=H","DateFormat=P","Fill=—","Direction=H","UseDPDF=Y")</f>
        <v>0</v>
      </c>
      <c r="Z49" s="13">
        <f>_xll.BDH("AMZN US Equity","BS_AMT_OF_TSY_STOCK","FQ4 2004","FQ4 2004","Currency=USD","Period=FQ","BEST_FPERIOD_OVERRIDE=FQ","FILING_STATUS=OR","SCALING_FORMAT=MLN","Sort=A","Dates=H","DateFormat=P","Fill=—","Direction=H","UseDPDF=Y")</f>
        <v>0</v>
      </c>
      <c r="AA49" s="13">
        <f>_xll.BDH("AMZN US Equity","BS_AMT_OF_TSY_STOCK","FQ1 2005","FQ1 2005","Currency=USD","Period=FQ","BEST_FPERIOD_OVERRIDE=FQ","FILING_STATUS=OR","SCALING_FORMAT=MLN","Sort=A","Dates=H","DateFormat=P","Fill=—","Direction=H","UseDPDF=Y")</f>
        <v>0</v>
      </c>
      <c r="AB49" s="13">
        <f>_xll.BDH("AMZN US Equity","BS_AMT_OF_TSY_STOCK","FQ2 2005","FQ2 2005","Currency=USD","Period=FQ","BEST_FPERIOD_OVERRIDE=FQ","FILING_STATUS=OR","SCALING_FORMAT=MLN","Sort=A","Dates=H","DateFormat=P","Fill=—","Direction=H","UseDPDF=Y")</f>
        <v>0</v>
      </c>
      <c r="AC49" s="13">
        <f>_xll.BDH("AMZN US Equity","BS_AMT_OF_TSY_STOCK","FQ3 2005","FQ3 2005","Currency=USD","Period=FQ","BEST_FPERIOD_OVERRIDE=FQ","FILING_STATUS=OR","SCALING_FORMAT=MLN","Sort=A","Dates=H","DateFormat=P","Fill=—","Direction=H","UseDPDF=Y")</f>
        <v>0</v>
      </c>
      <c r="AD49" s="13">
        <f>_xll.BDH("AMZN US Equity","BS_AMT_OF_TSY_STOCK","FQ4 2005","FQ4 2005","Currency=USD","Period=FQ","BEST_FPERIOD_OVERRIDE=FQ","FILING_STATUS=OR","SCALING_FORMAT=MLN","Sort=A","Dates=H","DateFormat=P","Fill=—","Direction=H","UseDPDF=Y")</f>
        <v>0</v>
      </c>
      <c r="AE49" s="13">
        <f>_xll.BDH("AMZN US Equity","BS_AMT_OF_TSY_STOCK","FQ1 2006","FQ1 2006","Currency=USD","Period=FQ","BEST_FPERIOD_OVERRIDE=FQ","FILING_STATUS=OR","SCALING_FORMAT=MLN","Sort=A","Dates=H","DateFormat=P","Fill=—","Direction=H","UseDPDF=Y")</f>
        <v>0</v>
      </c>
      <c r="AF49" s="13">
        <f>_xll.BDH("AMZN US Equity","BS_AMT_OF_TSY_STOCK","FQ2 2006","FQ2 2006","Currency=USD","Period=FQ","BEST_FPERIOD_OVERRIDE=FQ","FILING_STATUS=OR","SCALING_FORMAT=MLN","Sort=A","Dates=H","DateFormat=P","Fill=—","Direction=H","UseDPDF=Y")</f>
        <v>0</v>
      </c>
      <c r="AG49" s="13">
        <f>_xll.BDH("AMZN US Equity","BS_AMT_OF_TSY_STOCK","FQ3 2006","FQ3 2006","Currency=USD","Period=FQ","BEST_FPERIOD_OVERRIDE=FQ","FILING_STATUS=OR","SCALING_FORMAT=MLN","Sort=A","Dates=H","DateFormat=P","Fill=—","Direction=H","UseDPDF=Y")</f>
        <v>252</v>
      </c>
      <c r="AH49" s="13">
        <f>_xll.BDH("AMZN US Equity","BS_AMT_OF_TSY_STOCK","FQ4 2006","FQ4 2006","Currency=USD","Period=FQ","BEST_FPERIOD_OVERRIDE=FQ","FILING_STATUS=OR","SCALING_FORMAT=MLN","Sort=A","Dates=H","DateFormat=P","Fill=—","Direction=H","UseDPDF=Y")</f>
        <v>252</v>
      </c>
      <c r="AI49" s="13">
        <f>_xll.BDH("AMZN US Equity","BS_AMT_OF_TSY_STOCK","FQ1 2007","FQ1 2007","Currency=USD","Period=FQ","BEST_FPERIOD_OVERRIDE=FQ","FILING_STATUS=OR","SCALING_FORMAT=MLN","Sort=A","Dates=H","DateFormat=P","Fill=—","Direction=H","UseDPDF=Y")</f>
        <v>500</v>
      </c>
      <c r="AJ49" s="13">
        <f>_xll.BDH("AMZN US Equity","BS_AMT_OF_TSY_STOCK","FQ2 2007","FQ2 2007","Currency=USD","Period=FQ","BEST_FPERIOD_OVERRIDE=FQ","FILING_STATUS=OR","SCALING_FORMAT=MLN","Sort=A","Dates=H","DateFormat=P","Fill=—","Direction=H","UseDPDF=Y")</f>
        <v>500</v>
      </c>
      <c r="AK49" s="13">
        <f>_xll.BDH("AMZN US Equity","BS_AMT_OF_TSY_STOCK","FQ3 2007","FQ3 2007","Currency=USD","Period=FQ","BEST_FPERIOD_OVERRIDE=FQ","FILING_STATUS=OR","SCALING_FORMAT=MLN","Sort=A","Dates=H","DateFormat=P","Fill=—","Direction=H","UseDPDF=Y")</f>
        <v>500</v>
      </c>
      <c r="AL49" s="13">
        <f>_xll.BDH("AMZN US Equity","BS_AMT_OF_TSY_STOCK","FQ4 2007","FQ4 2007","Currency=USD","Period=FQ","BEST_FPERIOD_OVERRIDE=FQ","FILING_STATUS=OR","SCALING_FORMAT=MLN","Sort=A","Dates=H","DateFormat=P","Fill=—","Direction=H","UseDPDF=Y")</f>
        <v>500</v>
      </c>
      <c r="AM49" s="13">
        <f>_xll.BDH("AMZN US Equity","BS_AMT_OF_TSY_STOCK","FQ1 2008","FQ1 2008","Currency=USD","Period=FQ","BEST_FPERIOD_OVERRIDE=FQ","FILING_STATUS=OR","SCALING_FORMAT=MLN","Sort=A","Dates=H","DateFormat=P","Fill=—","Direction=H","UseDPDF=Y")</f>
        <v>500</v>
      </c>
      <c r="AN49" s="13">
        <f>_xll.BDH("AMZN US Equity","BS_AMT_OF_TSY_STOCK","FQ2 2008","FQ2 2008","Currency=USD","Period=FQ","BEST_FPERIOD_OVERRIDE=FQ","FILING_STATUS=OR","SCALING_FORMAT=MLN","Sort=A","Dates=H","DateFormat=P","Fill=—","Direction=H","UseDPDF=Y")</f>
        <v>500</v>
      </c>
      <c r="AO49" s="13">
        <f>_xll.BDH("AMZN US Equity","BS_AMT_OF_TSY_STOCK","FQ3 2008","FQ3 2008","Currency=USD","Period=FQ","BEST_FPERIOD_OVERRIDE=FQ","FILING_STATUS=OR","SCALING_FORMAT=MLN","Sort=A","Dates=H","DateFormat=P","Fill=—","Direction=H","UseDPDF=Y")</f>
        <v>500</v>
      </c>
      <c r="AP49" s="13">
        <f>_xll.BDH("AMZN US Equity","BS_AMT_OF_TSY_STOCK","FQ4 2008","FQ4 2008","Currency=USD","Period=FQ","BEST_FPERIOD_OVERRIDE=FQ","FILING_STATUS=OR","SCALING_FORMAT=MLN","Sort=A","Dates=H","DateFormat=P","Fill=—","Direction=H","UseDPDF=Y")</f>
        <v>600</v>
      </c>
    </row>
    <row r="50" spans="1:42" x14ac:dyDescent="0.25">
      <c r="A50" s="10" t="s">
        <v>262</v>
      </c>
      <c r="B50" s="10" t="s">
        <v>263</v>
      </c>
      <c r="C50" s="13" t="str">
        <f>_xll.BDH("AMZN US Equity","BS_PURE_RETAINED_EARNINGS","FQ4 1998","FQ4 1998","Currency=USD","Period=FQ","BEST_FPERIOD_OVERRIDE=FQ","FILING_STATUS=OR","SCALING_FORMAT=MLN","Sort=A","Dates=H","DateFormat=P","Fill=—","Direction=H","UseDPDF=Y")</f>
        <v>—</v>
      </c>
      <c r="D50" s="13" t="str">
        <f>_xll.BDH("AMZN US Equity","BS_PURE_RETAINED_EARNINGS","FQ1 1999","FQ1 1999","Currency=USD","Period=FQ","BEST_FPERIOD_OVERRIDE=FQ","FILING_STATUS=OR","SCALING_FORMAT=MLN","Sort=A","Dates=H","DateFormat=P","Fill=—","Direction=H","UseDPDF=Y")</f>
        <v>—</v>
      </c>
      <c r="E50" s="13" t="str">
        <f>_xll.BDH("AMZN US Equity","BS_PURE_RETAINED_EARNINGS","FQ2 1999","FQ2 1999","Currency=USD","Period=FQ","BEST_FPERIOD_OVERRIDE=FQ","FILING_STATUS=OR","SCALING_FORMAT=MLN","Sort=A","Dates=H","DateFormat=P","Fill=—","Direction=H","UseDPDF=Y")</f>
        <v>—</v>
      </c>
      <c r="F50" s="13" t="str">
        <f>_xll.BDH("AMZN US Equity","BS_PURE_RETAINED_EARNINGS","FQ3 1999","FQ3 1999","Currency=USD","Period=FQ","BEST_FPERIOD_OVERRIDE=FQ","FILING_STATUS=OR","SCALING_FORMAT=MLN","Sort=A","Dates=H","DateFormat=P","Fill=—","Direction=H","UseDPDF=Y")</f>
        <v>—</v>
      </c>
      <c r="G50" s="13" t="str">
        <f>_xll.BDH("AMZN US Equity","BS_PURE_RETAINED_EARNINGS","FQ4 1999","FQ4 1999","Currency=USD","Period=FQ","BEST_FPERIOD_OVERRIDE=FQ","FILING_STATUS=OR","SCALING_FORMAT=MLN","Sort=A","Dates=H","DateFormat=P","Fill=—","Direction=H","UseDPDF=Y")</f>
        <v>—</v>
      </c>
      <c r="H50" s="13" t="str">
        <f>_xll.BDH("AMZN US Equity","BS_PURE_RETAINED_EARNINGS","FQ1 2000","FQ1 2000","Currency=USD","Period=FQ","BEST_FPERIOD_OVERRIDE=FQ","FILING_STATUS=OR","SCALING_FORMAT=MLN","Sort=A","Dates=H","DateFormat=P","Fill=—","Direction=H","UseDPDF=Y")</f>
        <v>—</v>
      </c>
      <c r="I50" s="13" t="str">
        <f>_xll.BDH("AMZN US Equity","BS_PURE_RETAINED_EARNINGS","FQ3 2000","FQ3 2000","Currency=USD","Period=FQ","BEST_FPERIOD_OVERRIDE=FQ","FILING_STATUS=OR","SCALING_FORMAT=MLN","Sort=A","Dates=H","DateFormat=P","Fill=—","Direction=H","UseDPDF=Y")</f>
        <v>—</v>
      </c>
      <c r="J50" s="13" t="str">
        <f>_xll.BDH("AMZN US Equity","BS_PURE_RETAINED_EARNINGS","FQ4 2000","FQ4 2000","Currency=USD","Period=FQ","BEST_FPERIOD_OVERRIDE=FQ","FILING_STATUS=OR","SCALING_FORMAT=MLN","Sort=A","Dates=H","DateFormat=P","Fill=—","Direction=H","UseDPDF=Y")</f>
        <v>—</v>
      </c>
      <c r="K50" s="13" t="str">
        <f>_xll.BDH("AMZN US Equity","BS_PURE_RETAINED_EARNINGS","FQ1 2001","FQ1 2001","Currency=USD","Period=FQ","BEST_FPERIOD_OVERRIDE=FQ","FILING_STATUS=OR","SCALING_FORMAT=MLN","Sort=A","Dates=H","DateFormat=P","Fill=—","Direction=H","UseDPDF=Y")</f>
        <v>—</v>
      </c>
      <c r="L50" s="13" t="str">
        <f>_xll.BDH("AMZN US Equity","BS_PURE_RETAINED_EARNINGS","FQ2 2001","FQ2 2001","Currency=USD","Period=FQ","BEST_FPERIOD_OVERRIDE=FQ","FILING_STATUS=OR","SCALING_FORMAT=MLN","Sort=A","Dates=H","DateFormat=P","Fill=—","Direction=H","UseDPDF=Y")</f>
        <v>—</v>
      </c>
      <c r="M50" s="13">
        <f>_xll.BDH("AMZN US Equity","BS_PURE_RETAINED_EARNINGS","FQ3 2001","FQ3 2001","Currency=USD","Period=FQ","BEST_FPERIOD_OVERRIDE=FQ","FILING_STATUS=OR","SCALING_FORMAT=MLN","Sort=A","Dates=H","DateFormat=P","Fill=—","Direction=H","UseDPDF=Y")</f>
        <v>-2865.665</v>
      </c>
      <c r="N50" s="13" t="str">
        <f>_xll.BDH("AMZN US Equity","BS_PURE_RETAINED_EARNINGS","FQ4 2001","FQ4 2001","Currency=USD","Period=FQ","BEST_FPERIOD_OVERRIDE=FQ","FILING_STATUS=OR","SCALING_FORMAT=MLN","Sort=A","Dates=H","DateFormat=P","Fill=—","Direction=H","UseDPDF=Y")</f>
        <v>—</v>
      </c>
      <c r="O50" s="13" t="str">
        <f>_xll.BDH("AMZN US Equity","BS_PURE_RETAINED_EARNINGS","FQ1 2002","FQ1 2002","Currency=USD","Period=FQ","BEST_FPERIOD_OVERRIDE=FQ","FILING_STATUS=OR","SCALING_FORMAT=MLN","Sort=A","Dates=H","DateFormat=P","Fill=—","Direction=H","UseDPDF=Y")</f>
        <v>—</v>
      </c>
      <c r="P50" s="13" t="str">
        <f>_xll.BDH("AMZN US Equity","BS_PURE_RETAINED_EARNINGS","FQ2 2002","FQ2 2002","Currency=USD","Period=FQ","BEST_FPERIOD_OVERRIDE=FQ","FILING_STATUS=OR","SCALING_FORMAT=MLN","Sort=A","Dates=H","DateFormat=P","Fill=—","Direction=H","UseDPDF=Y")</f>
        <v>—</v>
      </c>
      <c r="Q50" s="13" t="str">
        <f>_xll.BDH("AMZN US Equity","BS_PURE_RETAINED_EARNINGS","FQ3 2002","FQ3 2002","Currency=USD","Period=FQ","BEST_FPERIOD_OVERRIDE=FQ","FILING_STATUS=OR","SCALING_FORMAT=MLN","Sort=A","Dates=H","DateFormat=P","Fill=—","Direction=H","UseDPDF=Y")</f>
        <v>—</v>
      </c>
      <c r="R50" s="13">
        <f>_xll.BDH("AMZN US Equity","BS_PURE_RETAINED_EARNINGS","FQ4 2002","FQ4 2002","Currency=USD","Period=FQ","BEST_FPERIOD_OVERRIDE=FQ","FILING_STATUS=OR","SCALING_FORMAT=MLN","Sort=A","Dates=H","DateFormat=P","Fill=—","Direction=H","UseDPDF=Y")</f>
        <v>-3009.71</v>
      </c>
      <c r="S50" s="13">
        <f>_xll.BDH("AMZN US Equity","BS_PURE_RETAINED_EARNINGS","FQ1 2003","FQ1 2003","Currency=USD","Period=FQ","BEST_FPERIOD_OVERRIDE=FQ","FILING_STATUS=OR","SCALING_FORMAT=MLN","Sort=A","Dates=H","DateFormat=P","Fill=—","Direction=H","UseDPDF=Y")</f>
        <v>-3019.8310999999999</v>
      </c>
      <c r="T50" s="13">
        <f>_xll.BDH("AMZN US Equity","BS_PURE_RETAINED_EARNINGS","FQ2 2003","FQ2 2003","Currency=USD","Period=FQ","BEST_FPERIOD_OVERRIDE=FQ","FILING_STATUS=OR","SCALING_FORMAT=MLN","Sort=A","Dates=H","DateFormat=P","Fill=—","Direction=H","UseDPDF=Y")</f>
        <v>-3063.145</v>
      </c>
      <c r="U50" s="13">
        <f>_xll.BDH("AMZN US Equity","BS_PURE_RETAINED_EARNINGS","FQ3 2003","FQ3 2003","Currency=USD","Period=FQ","BEST_FPERIOD_OVERRIDE=FQ","FILING_STATUS=OR","SCALING_FORMAT=MLN","Sort=A","Dates=H","DateFormat=P","Fill=—","Direction=H","UseDPDF=Y")</f>
        <v>-3047.5819999999999</v>
      </c>
      <c r="V50" s="13">
        <f>_xll.BDH("AMZN US Equity","BS_PURE_RETAINED_EARNINGS","FQ4 2003","FQ4 2003","Currency=USD","Period=FQ","BEST_FPERIOD_OVERRIDE=FQ","FILING_STATUS=OR","SCALING_FORMAT=MLN","Sort=A","Dates=H","DateFormat=P","Fill=—","Direction=H","UseDPDF=Y")</f>
        <v>-2974.4279999999999</v>
      </c>
      <c r="W50" s="13">
        <f>_xll.BDH("AMZN US Equity","BS_PURE_RETAINED_EARNINGS","FQ1 2004","FQ1 2004","Currency=USD","Period=FQ","BEST_FPERIOD_OVERRIDE=FQ","FILING_STATUS=OR","SCALING_FORMAT=MLN","Sort=A","Dates=H","DateFormat=P","Fill=—","Direction=H","UseDPDF=Y")</f>
        <v>-2863.29</v>
      </c>
      <c r="X50" s="13">
        <f>_xll.BDH("AMZN US Equity","BS_PURE_RETAINED_EARNINGS","FQ2 2004","FQ2 2004","Currency=USD","Period=FQ","BEST_FPERIOD_OVERRIDE=FQ","FILING_STATUS=OR","SCALING_FORMAT=MLN","Sort=A","Dates=H","DateFormat=P","Fill=—","Direction=H","UseDPDF=Y")</f>
        <v>-2786.8101000000001</v>
      </c>
      <c r="Y50" s="13">
        <f>_xll.BDH("AMZN US Equity","BS_PURE_RETAINED_EARNINGS","FQ3 2004","FQ3 2004","Currency=USD","Period=FQ","BEST_FPERIOD_OVERRIDE=FQ","FILING_STATUS=OR","SCALING_FORMAT=MLN","Sort=A","Dates=H","DateFormat=P","Fill=—","Direction=H","UseDPDF=Y")</f>
        <v>-2732.6599000000001</v>
      </c>
      <c r="Z50" s="13">
        <f>_xll.BDH("AMZN US Equity","BS_PURE_RETAINED_EARNINGS","FQ4 2004","FQ4 2004","Currency=USD","Period=FQ","BEST_FPERIOD_OVERRIDE=FQ","FILING_STATUS=OR","SCALING_FORMAT=MLN","Sort=A","Dates=H","DateFormat=P","Fill=—","Direction=H","UseDPDF=Y")</f>
        <v>-2385.9771000000001</v>
      </c>
      <c r="AA50" s="13">
        <f>_xll.BDH("AMZN US Equity","BS_PURE_RETAINED_EARNINGS","FQ1 2005","FQ1 2005","Currency=USD","Period=FQ","BEST_FPERIOD_OVERRIDE=FQ","FILING_STATUS=OR","SCALING_FORMAT=MLN","Sort=A","Dates=H","DateFormat=P","Fill=—","Direction=H","UseDPDF=Y")</f>
        <v>-2308</v>
      </c>
      <c r="AB50" s="13">
        <f>_xll.BDH("AMZN US Equity","BS_PURE_RETAINED_EARNINGS","FQ2 2005","FQ2 2005","Currency=USD","Period=FQ","BEST_FPERIOD_OVERRIDE=FQ","FILING_STATUS=OR","SCALING_FORMAT=MLN","Sort=A","Dates=H","DateFormat=P","Fill=—","Direction=H","UseDPDF=Y")</f>
        <v>-2256</v>
      </c>
      <c r="AC50" s="13">
        <f>_xll.BDH("AMZN US Equity","BS_PURE_RETAINED_EARNINGS","FQ3 2005","FQ3 2005","Currency=USD","Period=FQ","BEST_FPERIOD_OVERRIDE=FQ","FILING_STATUS=OR","SCALING_FORMAT=MLN","Sort=A","Dates=H","DateFormat=P","Fill=—","Direction=H","UseDPDF=Y")</f>
        <v>-2226</v>
      </c>
      <c r="AD50" s="13">
        <f>_xll.BDH("AMZN US Equity","BS_PURE_RETAINED_EARNINGS","FQ4 2005","FQ4 2005","Currency=USD","Period=FQ","BEST_FPERIOD_OVERRIDE=FQ","FILING_STATUS=OR","SCALING_FORMAT=MLN","Sort=A","Dates=H","DateFormat=P","Fill=—","Direction=H","UseDPDF=Y")</f>
        <v>-2027</v>
      </c>
      <c r="AE50" s="13">
        <f>_xll.BDH("AMZN US Equity","BS_PURE_RETAINED_EARNINGS","FQ1 2006","FQ1 2006","Currency=USD","Period=FQ","BEST_FPERIOD_OVERRIDE=FQ","FILING_STATUS=OR","SCALING_FORMAT=MLN","Sort=A","Dates=H","DateFormat=P","Fill=—","Direction=H","UseDPDF=Y")</f>
        <v>-1976</v>
      </c>
      <c r="AF50" s="13">
        <f>_xll.BDH("AMZN US Equity","BS_PURE_RETAINED_EARNINGS","FQ2 2006","FQ2 2006","Currency=USD","Period=FQ","BEST_FPERIOD_OVERRIDE=FQ","FILING_STATUS=OR","SCALING_FORMAT=MLN","Sort=A","Dates=H","DateFormat=P","Fill=—","Direction=H","UseDPDF=Y")</f>
        <v>-1953</v>
      </c>
      <c r="AG50" s="13">
        <f>_xll.BDH("AMZN US Equity","BS_PURE_RETAINED_EARNINGS","FQ3 2006","FQ3 2006","Currency=USD","Period=FQ","BEST_FPERIOD_OVERRIDE=FQ","FILING_STATUS=OR","SCALING_FORMAT=MLN","Sort=A","Dates=H","DateFormat=P","Fill=—","Direction=H","UseDPDF=Y")</f>
        <v>-1934</v>
      </c>
      <c r="AH50" s="13">
        <f>_xll.BDH("AMZN US Equity","BS_PURE_RETAINED_EARNINGS","FQ4 2006","FQ4 2006","Currency=USD","Period=FQ","BEST_FPERIOD_OVERRIDE=FQ","FILING_STATUS=OR","SCALING_FORMAT=MLN","Sort=A","Dates=H","DateFormat=P","Fill=—","Direction=H","UseDPDF=Y")</f>
        <v>-1837</v>
      </c>
      <c r="AI50" s="13">
        <f>_xll.BDH("AMZN US Equity","BS_PURE_RETAINED_EARNINGS","FQ1 2007","FQ1 2007","Currency=USD","Period=FQ","BEST_FPERIOD_OVERRIDE=FQ","FILING_STATUS=OR","SCALING_FORMAT=MLN","Sort=A","Dates=H","DateFormat=P","Fill=—","Direction=H","UseDPDF=Y")</f>
        <v>-1740</v>
      </c>
      <c r="AJ50" s="13">
        <f>_xll.BDH("AMZN US Equity","BS_PURE_RETAINED_EARNINGS","FQ2 2007","FQ2 2007","Currency=USD","Period=FQ","BEST_FPERIOD_OVERRIDE=FQ","FILING_STATUS=OR","SCALING_FORMAT=MLN","Sort=A","Dates=H","DateFormat=P","Fill=—","Direction=H","UseDPDF=Y")</f>
        <v>-1661</v>
      </c>
      <c r="AK50" s="13">
        <f>_xll.BDH("AMZN US Equity","BS_PURE_RETAINED_EARNINGS","FQ3 2007","FQ3 2007","Currency=USD","Period=FQ","BEST_FPERIOD_OVERRIDE=FQ","FILING_STATUS=OR","SCALING_FORMAT=MLN","Sort=A","Dates=H","DateFormat=P","Fill=—","Direction=H","UseDPDF=Y")</f>
        <v>-1581</v>
      </c>
      <c r="AL50" s="13">
        <f>_xll.BDH("AMZN US Equity","BS_PURE_RETAINED_EARNINGS","FQ4 2007","FQ4 2007","Currency=USD","Period=FQ","BEST_FPERIOD_OVERRIDE=FQ","FILING_STATUS=OR","SCALING_FORMAT=MLN","Sort=A","Dates=H","DateFormat=P","Fill=—","Direction=H","UseDPDF=Y")</f>
        <v>-1375</v>
      </c>
      <c r="AM50" s="13">
        <f>_xll.BDH("AMZN US Equity","BS_PURE_RETAINED_EARNINGS","FQ1 2008","FQ1 2008","Currency=USD","Period=FQ","BEST_FPERIOD_OVERRIDE=FQ","FILING_STATUS=OR","SCALING_FORMAT=MLN","Sort=A","Dates=H","DateFormat=P","Fill=—","Direction=H","UseDPDF=Y")</f>
        <v>-1232</v>
      </c>
      <c r="AN50" s="13">
        <f>_xll.BDH("AMZN US Equity","BS_PURE_RETAINED_EARNINGS","FQ2 2008","FQ2 2008","Currency=USD","Period=FQ","BEST_FPERIOD_OVERRIDE=FQ","FILING_STATUS=OR","SCALING_FORMAT=MLN","Sort=A","Dates=H","DateFormat=P","Fill=—","Direction=H","UseDPDF=Y")</f>
        <v>-1074</v>
      </c>
      <c r="AO50" s="13">
        <f>_xll.BDH("AMZN US Equity","BS_PURE_RETAINED_EARNINGS","FQ3 2008","FQ3 2008","Currency=USD","Period=FQ","BEST_FPERIOD_OVERRIDE=FQ","FILING_STATUS=OR","SCALING_FORMAT=MLN","Sort=A","Dates=H","DateFormat=P","Fill=—","Direction=H","UseDPDF=Y")</f>
        <v>-955</v>
      </c>
      <c r="AP50" s="13">
        <f>_xll.BDH("AMZN US Equity","BS_PURE_RETAINED_EARNINGS","FQ4 2008","FQ4 2008","Currency=USD","Period=FQ","BEST_FPERIOD_OVERRIDE=FQ","FILING_STATUS=OR","SCALING_FORMAT=MLN","Sort=A","Dates=H","DateFormat=P","Fill=—","Direction=H","UseDPDF=Y")</f>
        <v>-730</v>
      </c>
    </row>
    <row r="51" spans="1:42" x14ac:dyDescent="0.25">
      <c r="A51" s="10" t="s">
        <v>264</v>
      </c>
      <c r="B51" s="10" t="s">
        <v>265</v>
      </c>
      <c r="C51" s="14">
        <f>_xll.BDH("AMZN US Equity","OTHER_INS_RES_TO_SHRHLDR_EQY","FQ4 1998","FQ4 1998","Currency=USD","Period=FQ","BEST_FPERIOD_OVERRIDE=FQ","FILING_STATUS=OR","Sort=A","Dates=H","DateFormat=P","Fill=—","Direction=H","UseDPDF=Y")</f>
        <v>-162.97800000000001</v>
      </c>
      <c r="D51" s="14">
        <f>_xll.BDH("AMZN US Equity","OTHER_INS_RES_TO_SHRHLDR_EQY","FQ1 1999","FQ1 1999","Currency=USD","Period=FQ","BEST_FPERIOD_OVERRIDE=FQ","FILING_STATUS=OR","Sort=A","Dates=H","DateFormat=P","Fill=—","Direction=H","UseDPDF=Y")</f>
        <v>-230.49100000000001</v>
      </c>
      <c r="E51" s="14">
        <f>_xll.BDH("AMZN US Equity","OTHER_INS_RES_TO_SHRHLDR_EQY","FQ2 1999","FQ2 1999","Currency=USD","Period=FQ","BEST_FPERIOD_OVERRIDE=FQ","FILING_STATUS=OR","Sort=A","Dates=H","DateFormat=P","Fill=—","Direction=H","UseDPDF=Y")</f>
        <v>-410.06</v>
      </c>
      <c r="F51" s="14">
        <f>_xll.BDH("AMZN US Equity","OTHER_INS_RES_TO_SHRHLDR_EQY","FQ3 1999","FQ3 1999","Currency=USD","Period=FQ","BEST_FPERIOD_OVERRIDE=FQ","FILING_STATUS=OR","Sort=A","Dates=H","DateFormat=P","Fill=—","Direction=H","UseDPDF=Y")</f>
        <v>-611.12300000000005</v>
      </c>
      <c r="G51" s="14">
        <f>_xll.BDH("AMZN US Equity","OTHER_INS_RES_TO_SHRHLDR_EQY","FQ4 1999","FQ4 1999","Currency=USD","Period=FQ","BEST_FPERIOD_OVERRIDE=FQ","FILING_STATUS=OR","Sort=A","Dates=H","DateFormat=P","Fill=—","Direction=H","UseDPDF=Y")</f>
        <v>-932.71400000000006</v>
      </c>
      <c r="H51" s="14">
        <f>_xll.BDH("AMZN US Equity","OTHER_INS_RES_TO_SHRHLDR_EQY","FQ1 2000","FQ1 2000","Currency=USD","Period=FQ","BEST_FPERIOD_OVERRIDE=FQ","FILING_STATUS=OR","Sort=A","Dates=H","DateFormat=P","Fill=—","Direction=H","UseDPDF=Y")</f>
        <v>-1271.644</v>
      </c>
      <c r="I51" s="14">
        <f>_xll.BDH("AMZN US Equity","OTHER_INS_RES_TO_SHRHLDR_EQY","FQ3 2000","FQ3 2000","Currency=USD","Period=FQ","BEST_FPERIOD_OVERRIDE=FQ","FILING_STATUS=OR","Sort=A","Dates=H","DateFormat=P","Fill=—","Direction=H","UseDPDF=Y")</f>
        <v>-1833.3019999999999</v>
      </c>
      <c r="J51" s="14">
        <f>_xll.BDH("AMZN US Equity","OTHER_INS_RES_TO_SHRHLDR_EQY","FQ4 2000","FQ4 2000","Currency=USD","Period=FQ","BEST_FPERIOD_OVERRIDE=FQ","FILING_STATUS=OR","Sort=A","Dates=H","DateFormat=P","Fill=—","Direction=H","UseDPDF=Y")</f>
        <v>-2309.125</v>
      </c>
      <c r="K51" s="14">
        <f>_xll.BDH("AMZN US Equity","OTHER_INS_RES_TO_SHRHLDR_EQY","FQ1 2001","FQ1 2001","Currency=USD","Period=FQ","BEST_FPERIOD_OVERRIDE=FQ","FILING_STATUS=OR","Sort=A","Dates=H","DateFormat=P","Fill=—","Direction=H","UseDPDF=Y")</f>
        <v>-2601.0819999999999</v>
      </c>
      <c r="L51" s="14">
        <f>_xll.BDH("AMZN US Equity","OTHER_INS_RES_TO_SHRHLDR_EQY","FQ2 2001","FQ2 2001","Currency=USD","Period=FQ","BEST_FPERIOD_OVERRIDE=FQ","FILING_STATUS=OR","Sort=A","Dates=H","DateFormat=P","Fill=—","Direction=H","UseDPDF=Y")</f>
        <v>-2789.7689999999998</v>
      </c>
      <c r="M51" s="14">
        <f>_xll.BDH("AMZN US Equity","OTHER_INS_RES_TO_SHRHLDR_EQY","FQ3 2001","FQ3 2001","Currency=USD","Period=FQ","BEST_FPERIOD_OVERRIDE=FQ","FILING_STATUS=OR","Sort=A","Dates=H","DateFormat=P","Fill=—","Direction=H","UseDPDF=Y")</f>
        <v>-47.74</v>
      </c>
      <c r="N51" s="14">
        <f>_xll.BDH("AMZN US Equity","OTHER_INS_RES_TO_SHRHLDR_EQY","FQ4 2001","FQ4 2001","Currency=USD","Period=FQ","BEST_FPERIOD_OVERRIDE=FQ","FILING_STATUS=OR","Sort=A","Dates=H","DateFormat=P","Fill=—","Direction=H","UseDPDF=Y")</f>
        <v>-2906.5010000000002</v>
      </c>
      <c r="O51" s="14">
        <f>_xll.BDH("AMZN US Equity","OTHER_INS_RES_TO_SHRHLDR_EQY","FQ1 2002","FQ1 2002","Currency=USD","Period=FQ","BEST_FPERIOD_OVERRIDE=FQ","FILING_STATUS=OR","Sort=A","Dates=H","DateFormat=P","Fill=—","Direction=H","UseDPDF=Y")</f>
        <v>-2932.0610000000001</v>
      </c>
      <c r="P51" s="14">
        <f>_xll.BDH("AMZN US Equity","OTHER_INS_RES_TO_SHRHLDR_EQY","FQ2 2002","FQ2 2002","Currency=USD","Period=FQ","BEST_FPERIOD_OVERRIDE=FQ","FILING_STATUS=OR","Sort=A","Dates=H","DateFormat=P","Fill=—","Direction=H","UseDPDF=Y")</f>
        <v>-2994.6550000000002</v>
      </c>
      <c r="Q51" s="14">
        <f>_xll.BDH("AMZN US Equity","OTHER_INS_RES_TO_SHRHLDR_EQY","FQ3 2002","FQ3 2002","Currency=USD","Period=FQ","BEST_FPERIOD_OVERRIDE=FQ","FILING_STATUS=OR","Sort=A","Dates=H","DateFormat=P","Fill=—","Direction=H","UseDPDF=Y")</f>
        <v>-3032.3688999999999</v>
      </c>
      <c r="R51" s="14">
        <f>_xll.BDH("AMZN US Equity","OTHER_INS_RES_TO_SHRHLDR_EQY","FQ4 2002","FQ4 2002","Currency=USD","Period=FQ","BEST_FPERIOD_OVERRIDE=FQ","FILING_STATUS=OR","Sort=A","Dates=H","DateFormat=P","Fill=—","Direction=H","UseDPDF=Y")</f>
        <v>3.0710000000000002</v>
      </c>
      <c r="S51" s="14">
        <f>_xll.BDH("AMZN US Equity","OTHER_INS_RES_TO_SHRHLDR_EQY","FQ1 2003","FQ1 2003","Currency=USD","Period=FQ","BEST_FPERIOD_OVERRIDE=FQ","FILING_STATUS=OR","Sort=A","Dates=H","DateFormat=P","Fill=—","Direction=H","UseDPDF=Y")</f>
        <v>12.235099999999999</v>
      </c>
      <c r="T51" s="14">
        <f>_xll.BDH("AMZN US Equity","OTHER_INS_RES_TO_SHRHLDR_EQY","FQ2 2003","FQ2 2003","Currency=USD","Period=FQ","BEST_FPERIOD_OVERRIDE=FQ","FILING_STATUS=OR","Sort=A","Dates=H","DateFormat=P","Fill=—","Direction=H","UseDPDF=Y")</f>
        <v>21.507100000000001</v>
      </c>
      <c r="U51" s="14">
        <f>_xll.BDH("AMZN US Equity","OTHER_INS_RES_TO_SHRHLDR_EQY","FQ3 2003","FQ3 2003","Currency=USD","Period=FQ","BEST_FPERIOD_OVERRIDE=FQ","FILING_STATUS=OR","Sort=A","Dates=H","DateFormat=P","Fill=—","Direction=H","UseDPDF=Y")</f>
        <v>33.2361</v>
      </c>
      <c r="V51" s="14">
        <f>_xll.BDH("AMZN US Equity","OTHER_INS_RES_TO_SHRHLDR_EQY","FQ4 2003","FQ4 2003","Currency=USD","Period=FQ","BEST_FPERIOD_OVERRIDE=FQ","FILING_STATUS=OR","Sort=A","Dates=H","DateFormat=P","Fill=—","Direction=H","UseDPDF=Y")</f>
        <v>34.8889</v>
      </c>
      <c r="W51" s="14">
        <f>_xll.BDH("AMZN US Equity","OTHER_INS_RES_TO_SHRHLDR_EQY","FQ1 2004","FQ1 2004","Currency=USD","Period=FQ","BEST_FPERIOD_OVERRIDE=FQ","FILING_STATUS=OR","Sort=A","Dates=H","DateFormat=P","Fill=—","Direction=H","UseDPDF=Y")</f>
        <v>31.0901</v>
      </c>
      <c r="X51" s="14">
        <f>_xll.BDH("AMZN US Equity","OTHER_INS_RES_TO_SHRHLDR_EQY","FQ2 2004","FQ2 2004","Currency=USD","Period=FQ","BEST_FPERIOD_OVERRIDE=FQ","FILING_STATUS=OR","Sort=A","Dates=H","DateFormat=P","Fill=—","Direction=H","UseDPDF=Y")</f>
        <v>27.542999999999999</v>
      </c>
      <c r="Y51" s="14">
        <f>_xll.BDH("AMZN US Equity","OTHER_INS_RES_TO_SHRHLDR_EQY","FQ3 2004","FQ3 2004","Currency=USD","Period=FQ","BEST_FPERIOD_OVERRIDE=FQ","FILING_STATUS=OR","Sort=A","Dates=H","DateFormat=P","Fill=—","Direction=H","UseDPDF=Y")</f>
        <v>25.8491</v>
      </c>
      <c r="Z51" s="14">
        <f>_xll.BDH("AMZN US Equity","OTHER_INS_RES_TO_SHRHLDR_EQY","FQ4 2004","FQ4 2004","Currency=USD","Period=FQ","BEST_FPERIOD_OVERRIDE=FQ","FILING_STATUS=OR","Sort=A","Dates=H","DateFormat=P","Fill=—","Direction=H","UseDPDF=Y")</f>
        <v>30.071000000000002</v>
      </c>
      <c r="AA51" s="14">
        <f>_xll.BDH("AMZN US Equity","OTHER_INS_RES_TO_SHRHLDR_EQY","FQ1 2005","FQ1 2005","Currency=USD","Period=FQ","BEST_FPERIOD_OVERRIDE=FQ","FILING_STATUS=OR","Sort=A","Dates=H","DateFormat=P","Fill=—","Direction=H","UseDPDF=Y")</f>
        <v>24</v>
      </c>
      <c r="AB51" s="14">
        <f>_xll.BDH("AMZN US Equity","OTHER_INS_RES_TO_SHRHLDR_EQY","FQ2 2005","FQ2 2005","Currency=USD","Period=FQ","BEST_FPERIOD_OVERRIDE=FQ","FILING_STATUS=OR","Sort=A","Dates=H","DateFormat=P","Fill=—","Direction=H","UseDPDF=Y")</f>
        <v>27</v>
      </c>
      <c r="AC51" s="14">
        <f>_xll.BDH("AMZN US Equity","OTHER_INS_RES_TO_SHRHLDR_EQY","FQ3 2005","FQ3 2005","Currency=USD","Period=FQ","BEST_FPERIOD_OVERRIDE=FQ","FILING_STATUS=OR","Sort=A","Dates=H","DateFormat=P","Fill=—","Direction=H","UseDPDF=Y")</f>
        <v>13</v>
      </c>
      <c r="AD51" s="14">
        <f>_xll.BDH("AMZN US Equity","OTHER_INS_RES_TO_SHRHLDR_EQY","FQ4 2005","FQ4 2005","Currency=USD","Period=FQ","BEST_FPERIOD_OVERRIDE=FQ","FILING_STATUS=OR","Sort=A","Dates=H","DateFormat=P","Fill=—","Direction=H","UseDPDF=Y")</f>
        <v>6</v>
      </c>
      <c r="AE51" s="14">
        <f>_xll.BDH("AMZN US Equity","OTHER_INS_RES_TO_SHRHLDR_EQY","FQ1 2006","FQ1 2006","Currency=USD","Period=FQ","BEST_FPERIOD_OVERRIDE=FQ","FILING_STATUS=OR","Sort=A","Dates=H","DateFormat=P","Fill=—","Direction=H","UseDPDF=Y")</f>
        <v>9</v>
      </c>
      <c r="AF51" s="14">
        <f>_xll.BDH("AMZN US Equity","OTHER_INS_RES_TO_SHRHLDR_EQY","FQ2 2006","FQ2 2006","Currency=USD","Period=FQ","BEST_FPERIOD_OVERRIDE=FQ","FILING_STATUS=OR","Sort=A","Dates=H","DateFormat=P","Fill=—","Direction=H","UseDPDF=Y")</f>
        <v>-2</v>
      </c>
      <c r="AG51" s="14">
        <f>_xll.BDH("AMZN US Equity","OTHER_INS_RES_TO_SHRHLDR_EQY","FQ3 2006","FQ3 2006","Currency=USD","Period=FQ","BEST_FPERIOD_OVERRIDE=FQ","FILING_STATUS=OR","Sort=A","Dates=H","DateFormat=P","Fill=—","Direction=H","UseDPDF=Y")</f>
        <v>1</v>
      </c>
      <c r="AH51" s="14">
        <f>_xll.BDH("AMZN US Equity","OTHER_INS_RES_TO_SHRHLDR_EQY","FQ4 2006","FQ4 2006","Currency=USD","Period=FQ","BEST_FPERIOD_OVERRIDE=FQ","FILING_STATUS=OR","Sort=A","Dates=H","DateFormat=P","Fill=—","Direction=H","UseDPDF=Y")</f>
        <v>-1</v>
      </c>
      <c r="AI51" s="14">
        <f>_xll.BDH("AMZN US Equity","OTHER_INS_RES_TO_SHRHLDR_EQY","FQ1 2007","FQ1 2007","Currency=USD","Period=FQ","BEST_FPERIOD_OVERRIDE=FQ","FILING_STATUS=OR","Sort=A","Dates=H","DateFormat=P","Fill=—","Direction=H","UseDPDF=Y")</f>
        <v>3</v>
      </c>
      <c r="AJ51" s="14">
        <f>_xll.BDH("AMZN US Equity","OTHER_INS_RES_TO_SHRHLDR_EQY","FQ2 2007","FQ2 2007","Currency=USD","Period=FQ","BEST_FPERIOD_OVERRIDE=FQ","FILING_STATUS=OR","Sort=A","Dates=H","DateFormat=P","Fill=—","Direction=H","UseDPDF=Y")</f>
        <v>3</v>
      </c>
      <c r="AK51" s="14">
        <f>_xll.BDH("AMZN US Equity","OTHER_INS_RES_TO_SHRHLDR_EQY","FQ3 2007","FQ3 2007","Currency=USD","Period=FQ","BEST_FPERIOD_OVERRIDE=FQ","FILING_STATUS=OR","Sort=A","Dates=H","DateFormat=P","Fill=—","Direction=H","UseDPDF=Y")</f>
        <v>11</v>
      </c>
      <c r="AL51" s="14">
        <f>_xll.BDH("AMZN US Equity","OTHER_INS_RES_TO_SHRHLDR_EQY","FQ4 2007","FQ4 2007","Currency=USD","Period=FQ","BEST_FPERIOD_OVERRIDE=FQ","FILING_STATUS=OR","Sort=A","Dates=H","DateFormat=P","Fill=—","Direction=H","UseDPDF=Y")</f>
        <v>5</v>
      </c>
      <c r="AM51" s="14">
        <f>_xll.BDH("AMZN US Equity","OTHER_INS_RES_TO_SHRHLDR_EQY","FQ1 2008","FQ1 2008","Currency=USD","Period=FQ","BEST_FPERIOD_OVERRIDE=FQ","FILING_STATUS=OR","Sort=A","Dates=H","DateFormat=P","Fill=—","Direction=H","UseDPDF=Y")</f>
        <v>7</v>
      </c>
      <c r="AN51" s="14">
        <f>_xll.BDH("AMZN US Equity","OTHER_INS_RES_TO_SHRHLDR_EQY","FQ2 2008","FQ2 2008","Currency=USD","Period=FQ","BEST_FPERIOD_OVERRIDE=FQ","FILING_STATUS=OR","Sort=A","Dates=H","DateFormat=P","Fill=—","Direction=H","UseDPDF=Y")</f>
        <v>6</v>
      </c>
      <c r="AO51" s="14">
        <f>_xll.BDH("AMZN US Equity","OTHER_INS_RES_TO_SHRHLDR_EQY","FQ3 2008","FQ3 2008","Currency=USD","Period=FQ","BEST_FPERIOD_OVERRIDE=FQ","FILING_STATUS=OR","Sort=A","Dates=H","DateFormat=P","Fill=—","Direction=H","UseDPDF=Y")</f>
        <v>-73</v>
      </c>
      <c r="AP51" s="14">
        <f>_xll.BDH("AMZN US Equity","OTHER_INS_RES_TO_SHRHLDR_EQY","FQ4 2008","FQ4 2008","Currency=USD","Period=FQ","BEST_FPERIOD_OVERRIDE=FQ","FILING_STATUS=OR","Sort=A","Dates=H","DateFormat=P","Fill=—","Direction=H","UseDPDF=Y")</f>
        <v>-123</v>
      </c>
    </row>
    <row r="52" spans="1:42" x14ac:dyDescent="0.25">
      <c r="A52" s="6" t="s">
        <v>266</v>
      </c>
      <c r="B52" s="6" t="s">
        <v>267</v>
      </c>
      <c r="C52" s="16">
        <f>_xll.BDH("AMZN US Equity","EQTY_BEF_MINORITY_INT_DETAILED","FQ4 1998","FQ4 1998","Currency=USD","Period=FQ","BEST_FPERIOD_OVERRIDE=FQ","FILING_STATUS=OR","SCALING_FORMAT=MLN","Sort=A","Dates=H","DateFormat=P","Fill=—","Direction=H","UseDPDF=Y")</f>
        <v>138.745</v>
      </c>
      <c r="D52" s="16">
        <f>_xll.BDH("AMZN US Equity","EQTY_BEF_MINORITY_INT_DETAILED","FQ1 1999","FQ1 1999","Currency=USD","Period=FQ","BEST_FPERIOD_OVERRIDE=FQ","FILING_STATUS=OR","SCALING_FORMAT=MLN","Sort=A","Dates=H","DateFormat=P","Fill=—","Direction=H","UseDPDF=Y")</f>
        <v>77.537000000000006</v>
      </c>
      <c r="E52" s="16">
        <f>_xll.BDH("AMZN US Equity","EQTY_BEF_MINORITY_INT_DETAILED","FQ2 1999","FQ2 1999","Currency=USD","Period=FQ","BEST_FPERIOD_OVERRIDE=FQ","FILING_STATUS=OR","SCALING_FORMAT=MLN","Sort=A","Dates=H","DateFormat=P","Fill=—","Direction=H","UseDPDF=Y")</f>
        <v>571.04600000000005</v>
      </c>
      <c r="F52" s="16">
        <f>_xll.BDH("AMZN US Equity","EQTY_BEF_MINORITY_INT_DETAILED","FQ3 1999","FQ3 1999","Currency=USD","Period=FQ","BEST_FPERIOD_OVERRIDE=FQ","FILING_STATUS=OR","SCALING_FORMAT=MLN","Sort=A","Dates=H","DateFormat=P","Fill=—","Direction=H","UseDPDF=Y")</f>
        <v>419.92500000000001</v>
      </c>
      <c r="G52" s="16">
        <f>_xll.BDH("AMZN US Equity","EQTY_BEF_MINORITY_INT_DETAILED","FQ4 1999","FQ4 1999","Currency=USD","Period=FQ","BEST_FPERIOD_OVERRIDE=FQ","FILING_STATUS=OR","SCALING_FORMAT=MLN","Sort=A","Dates=H","DateFormat=P","Fill=—","Direction=H","UseDPDF=Y")</f>
        <v>266.27800000000002</v>
      </c>
      <c r="H52" s="16">
        <f>_xll.BDH("AMZN US Equity","EQTY_BEF_MINORITY_INT_DETAILED","FQ1 2000","FQ1 2000","Currency=USD","Period=FQ","BEST_FPERIOD_OVERRIDE=FQ","FILING_STATUS=OR","SCALING_FORMAT=MLN","Sort=A","Dates=H","DateFormat=P","Fill=—","Direction=H","UseDPDF=Y")</f>
        <v>25.617000000000001</v>
      </c>
      <c r="I52" s="16">
        <f>_xll.BDH("AMZN US Equity","EQTY_BEF_MINORITY_INT_DETAILED","FQ3 2000","FQ3 2000","Currency=USD","Period=FQ","BEST_FPERIOD_OVERRIDE=FQ","FILING_STATUS=OR","SCALING_FORMAT=MLN","Sort=A","Dates=H","DateFormat=P","Fill=—","Direction=H","UseDPDF=Y")</f>
        <v>-487.16699999999997</v>
      </c>
      <c r="J52" s="16">
        <f>_xll.BDH("AMZN US Equity","EQTY_BEF_MINORITY_INT_DETAILED","FQ4 2000","FQ4 2000","Currency=USD","Period=FQ","BEST_FPERIOD_OVERRIDE=FQ","FILING_STATUS=OR","SCALING_FORMAT=MLN","Sort=A","Dates=H","DateFormat=P","Fill=—","Direction=H","UseDPDF=Y")</f>
        <v>-967.25099999999998</v>
      </c>
      <c r="K52" s="16">
        <f>_xll.BDH("AMZN US Equity","EQTY_BEF_MINORITY_INT_DETAILED","FQ1 2001","FQ1 2001","Currency=USD","Period=FQ","BEST_FPERIOD_OVERRIDE=FQ","FILING_STATUS=OR","SCALING_FORMAT=MLN","Sort=A","Dates=H","DateFormat=P","Fill=—","Direction=H","UseDPDF=Y")</f>
        <v>-1253.4110000000001</v>
      </c>
      <c r="L52" s="16">
        <f>_xll.BDH("AMZN US Equity","EQTY_BEF_MINORITY_INT_DETAILED","FQ2 2001","FQ2 2001","Currency=USD","Period=FQ","BEST_FPERIOD_OVERRIDE=FQ","FILING_STATUS=OR","SCALING_FORMAT=MLN","Sort=A","Dates=H","DateFormat=P","Fill=—","Direction=H","UseDPDF=Y")</f>
        <v>-1429.931</v>
      </c>
      <c r="M52" s="16">
        <f>_xll.BDH("AMZN US Equity","EQTY_BEF_MINORITY_INT_DETAILED","FQ3 2001","FQ3 2001","Currency=USD","Period=FQ","BEST_FPERIOD_OVERRIDE=FQ","FILING_STATUS=OR","SCALING_FORMAT=MLN","Sort=A","Dates=H","DateFormat=P","Fill=—","Direction=H","UseDPDF=Y")</f>
        <v>-1453.9939999999999</v>
      </c>
      <c r="N52" s="16">
        <f>_xll.BDH("AMZN US Equity","EQTY_BEF_MINORITY_INT_DETAILED","FQ4 2001","FQ4 2001","Currency=USD","Period=FQ","BEST_FPERIOD_OVERRIDE=FQ","FILING_STATUS=OR","SCALING_FORMAT=MLN","Sort=A","Dates=H","DateFormat=P","Fill=—","Direction=H","UseDPDF=Y")</f>
        <v>-1440</v>
      </c>
      <c r="O52" s="16">
        <f>_xll.BDH("AMZN US Equity","EQTY_BEF_MINORITY_INT_DETAILED","FQ1 2002","FQ1 2002","Currency=USD","Period=FQ","BEST_FPERIOD_OVERRIDE=FQ","FILING_STATUS=OR","SCALING_FORMAT=MLN","Sort=A","Dates=H","DateFormat=P","Fill=—","Direction=H","UseDPDF=Y")</f>
        <v>-1447.375</v>
      </c>
      <c r="P52" s="16">
        <f>_xll.BDH("AMZN US Equity","EQTY_BEF_MINORITY_INT_DETAILED","FQ2 2002","FQ2 2002","Currency=USD","Period=FQ","BEST_FPERIOD_OVERRIDE=FQ","FILING_STATUS=OR","SCALING_FORMAT=MLN","Sort=A","Dates=H","DateFormat=P","Fill=—","Direction=H","UseDPDF=Y")</f>
        <v>-1443.9110000000001</v>
      </c>
      <c r="Q52" s="16">
        <f>_xll.BDH("AMZN US Equity","EQTY_BEF_MINORITY_INT_DETAILED","FQ3 2002","FQ3 2002","Currency=USD","Period=FQ","BEST_FPERIOD_OVERRIDE=FQ","FILING_STATUS=OR","SCALING_FORMAT=MLN","Sort=A","Dates=H","DateFormat=P","Fill=—","Direction=H","UseDPDF=Y")</f>
        <v>-1478.4387999999999</v>
      </c>
      <c r="R52" s="16">
        <f>_xll.BDH("AMZN US Equity","EQTY_BEF_MINORITY_INT_DETAILED","FQ4 2002","FQ4 2002","Currency=USD","Period=FQ","BEST_FPERIOD_OVERRIDE=FQ","FILING_STATUS=OR","SCALING_FORMAT=MLN","Sort=A","Dates=H","DateFormat=P","Fill=—","Direction=H","UseDPDF=Y")</f>
        <v>-1352.8140000000001</v>
      </c>
      <c r="S52" s="16">
        <f>_xll.BDH("AMZN US Equity","EQTY_BEF_MINORITY_INT_DETAILED","FQ1 2003","FQ1 2003","Currency=USD","Period=FQ","BEST_FPERIOD_OVERRIDE=FQ","FILING_STATUS=OR","SCALING_FORMAT=MLN","Sort=A","Dates=H","DateFormat=P","Fill=—","Direction=H","UseDPDF=Y")</f>
        <v>-1289.0640000000001</v>
      </c>
      <c r="T52" s="16">
        <f>_xll.BDH("AMZN US Equity","EQTY_BEF_MINORITY_INT_DETAILED","FQ2 2003","FQ2 2003","Currency=USD","Period=FQ","BEST_FPERIOD_OVERRIDE=FQ","FILING_STATUS=OR","SCALING_FORMAT=MLN","Sort=A","Dates=H","DateFormat=P","Fill=—","Direction=H","UseDPDF=Y")</f>
        <v>-1246.8359</v>
      </c>
      <c r="U52" s="16">
        <f>_xll.BDH("AMZN US Equity","EQTY_BEF_MINORITY_INT_DETAILED","FQ3 2003","FQ3 2003","Currency=USD","Period=FQ","BEST_FPERIOD_OVERRIDE=FQ","FILING_STATUS=OR","SCALING_FORMAT=MLN","Sort=A","Dates=H","DateFormat=P","Fill=—","Direction=H","UseDPDF=Y")</f>
        <v>-1158.0338999999999</v>
      </c>
      <c r="V52" s="16">
        <f>_xll.BDH("AMZN US Equity","EQTY_BEF_MINORITY_INT_DETAILED","FQ4 2003","FQ4 2003","Currency=USD","Period=FQ","BEST_FPERIOD_OVERRIDE=FQ","FILING_STATUS=OR","SCALING_FORMAT=MLN","Sort=A","Dates=H","DateFormat=P","Fill=—","Direction=H","UseDPDF=Y")</f>
        <v>-1036.1070999999999</v>
      </c>
      <c r="W52" s="16">
        <f>_xll.BDH("AMZN US Equity","EQTY_BEF_MINORITY_INT_DETAILED","FQ1 2004","FQ1 2004","Currency=USD","Period=FQ","BEST_FPERIOD_OVERRIDE=FQ","FILING_STATUS=OR","SCALING_FORMAT=MLN","Sort=A","Dates=H","DateFormat=P","Fill=—","Direction=H","UseDPDF=Y")</f>
        <v>-905.04989999999998</v>
      </c>
      <c r="X52" s="16">
        <f>_xll.BDH("AMZN US Equity","EQTY_BEF_MINORITY_INT_DETAILED","FQ2 2004","FQ2 2004","Currency=USD","Period=FQ","BEST_FPERIOD_OVERRIDE=FQ","FILING_STATUS=OR","SCALING_FORMAT=MLN","Sort=A","Dates=H","DateFormat=P","Fill=—","Direction=H","UseDPDF=Y")</f>
        <v>-790.85799999999995</v>
      </c>
      <c r="Y52" s="16">
        <f>_xll.BDH("AMZN US Equity","EQTY_BEF_MINORITY_INT_DETAILED","FQ3 2004","FQ3 2004","Currency=USD","Period=FQ","BEST_FPERIOD_OVERRIDE=FQ","FILING_STATUS=OR","SCALING_FORMAT=MLN","Sort=A","Dates=H","DateFormat=P","Fill=—","Direction=H","UseDPDF=Y")</f>
        <v>-721.07680000000005</v>
      </c>
      <c r="Z52" s="16">
        <f>_xll.BDH("AMZN US Equity","EQTY_BEF_MINORITY_INT_DETAILED","FQ4 2004","FQ4 2004","Currency=USD","Period=FQ","BEST_FPERIOD_OVERRIDE=FQ","FILING_STATUS=OR","SCALING_FORMAT=MLN","Sort=A","Dates=H","DateFormat=P","Fill=—","Direction=H","UseDPDF=Y")</f>
        <v>-227.21090000000001</v>
      </c>
      <c r="AA52" s="16">
        <f>_xll.BDH("AMZN US Equity","EQTY_BEF_MINORITY_INT_DETAILED","FQ1 2005","FQ1 2005","Currency=USD","Period=FQ","BEST_FPERIOD_OVERRIDE=FQ","FILING_STATUS=OR","SCALING_FORMAT=MLN","Sort=A","Dates=H","DateFormat=P","Fill=—","Direction=H","UseDPDF=Y")</f>
        <v>-162</v>
      </c>
      <c r="AB52" s="16">
        <f>_xll.BDH("AMZN US Equity","EQTY_BEF_MINORITY_INT_DETAILED","FQ2 2005","FQ2 2005","Currency=USD","Period=FQ","BEST_FPERIOD_OVERRIDE=FQ","FILING_STATUS=OR","SCALING_FORMAT=MLN","Sort=A","Dates=H","DateFormat=P","Fill=—","Direction=H","UseDPDF=Y")</f>
        <v>-64</v>
      </c>
      <c r="AC52" s="16">
        <f>_xll.BDH("AMZN US Equity","EQTY_BEF_MINORITY_INT_DETAILED","FQ3 2005","FQ3 2005","Currency=USD","Period=FQ","BEST_FPERIOD_OVERRIDE=FQ","FILING_STATUS=OR","SCALING_FORMAT=MLN","Sort=A","Dates=H","DateFormat=P","Fill=—","Direction=H","UseDPDF=Y")</f>
        <v>6</v>
      </c>
      <c r="AD52" s="16">
        <f>_xll.BDH("AMZN US Equity","EQTY_BEF_MINORITY_INT_DETAILED","FQ4 2005","FQ4 2005","Currency=USD","Period=FQ","BEST_FPERIOD_OVERRIDE=FQ","FILING_STATUS=OR","SCALING_FORMAT=MLN","Sort=A","Dates=H","DateFormat=P","Fill=—","Direction=H","UseDPDF=Y")</f>
        <v>246</v>
      </c>
      <c r="AE52" s="16">
        <f>_xll.BDH("AMZN US Equity","EQTY_BEF_MINORITY_INT_DETAILED","FQ1 2006","FQ1 2006","Currency=USD","Period=FQ","BEST_FPERIOD_OVERRIDE=FQ","FILING_STATUS=OR","SCALING_FORMAT=MLN","Sort=A","Dates=H","DateFormat=P","Fill=—","Direction=H","UseDPDF=Y")</f>
        <v>324</v>
      </c>
      <c r="AF52" s="16">
        <f>_xll.BDH("AMZN US Equity","EQTY_BEF_MINORITY_INT_DETAILED","FQ2 2006","FQ2 2006","Currency=USD","Period=FQ","BEST_FPERIOD_OVERRIDE=FQ","FILING_STATUS=OR","SCALING_FORMAT=MLN","Sort=A","Dates=H","DateFormat=P","Fill=—","Direction=H","UseDPDF=Y")</f>
        <v>383</v>
      </c>
      <c r="AG52" s="16">
        <f>_xll.BDH("AMZN US Equity","EQTY_BEF_MINORITY_INT_DETAILED","FQ3 2006","FQ3 2006","Currency=USD","Period=FQ","BEST_FPERIOD_OVERRIDE=FQ","FILING_STATUS=OR","SCALING_FORMAT=MLN","Sort=A","Dates=H","DateFormat=P","Fill=—","Direction=H","UseDPDF=Y")</f>
        <v>196</v>
      </c>
      <c r="AH52" s="16">
        <f>_xll.BDH("AMZN US Equity","EQTY_BEF_MINORITY_INT_DETAILED","FQ4 2006","FQ4 2006","Currency=USD","Period=FQ","BEST_FPERIOD_OVERRIDE=FQ","FILING_STATUS=OR","SCALING_FORMAT=MLN","Sort=A","Dates=H","DateFormat=P","Fill=—","Direction=H","UseDPDF=Y")</f>
        <v>431</v>
      </c>
      <c r="AI52" s="16">
        <f>_xll.BDH("AMZN US Equity","EQTY_BEF_MINORITY_INT_DETAILED","FQ1 2007","FQ1 2007","Currency=USD","Period=FQ","BEST_FPERIOD_OVERRIDE=FQ","FILING_STATUS=OR","SCALING_FORMAT=MLN","Sort=A","Dates=H","DateFormat=P","Fill=—","Direction=H","UseDPDF=Y")</f>
        <v>353</v>
      </c>
      <c r="AJ52" s="16">
        <f>_xll.BDH("AMZN US Equity","EQTY_BEF_MINORITY_INT_DETAILED","FQ2 2007","FQ2 2007","Currency=USD","Period=FQ","BEST_FPERIOD_OVERRIDE=FQ","FILING_STATUS=OR","SCALING_FORMAT=MLN","Sort=A","Dates=H","DateFormat=P","Fill=—","Direction=H","UseDPDF=Y")</f>
        <v>550</v>
      </c>
      <c r="AK52" s="16">
        <f>_xll.BDH("AMZN US Equity","EQTY_BEF_MINORITY_INT_DETAILED","FQ3 2007","FQ3 2007","Currency=USD","Period=FQ","BEST_FPERIOD_OVERRIDE=FQ","FILING_STATUS=OR","SCALING_FORMAT=MLN","Sort=A","Dates=H","DateFormat=P","Fill=—","Direction=H","UseDPDF=Y")</f>
        <v>761</v>
      </c>
      <c r="AL52" s="16">
        <f>_xll.BDH("AMZN US Equity","EQTY_BEF_MINORITY_INT_DETAILED","FQ4 2007","FQ4 2007","Currency=USD","Period=FQ","BEST_FPERIOD_OVERRIDE=FQ","FILING_STATUS=OR","SCALING_FORMAT=MLN","Sort=A","Dates=H","DateFormat=P","Fill=—","Direction=H","UseDPDF=Y")</f>
        <v>1197</v>
      </c>
      <c r="AM52" s="16">
        <f>_xll.BDH("AMZN US Equity","EQTY_BEF_MINORITY_INT_DETAILED","FQ1 2008","FQ1 2008","Currency=USD","Period=FQ","BEST_FPERIOD_OVERRIDE=FQ","FILING_STATUS=OR","SCALING_FORMAT=MLN","Sort=A","Dates=H","DateFormat=P","Fill=—","Direction=H","UseDPDF=Y")</f>
        <v>1470</v>
      </c>
      <c r="AN52" s="16">
        <f>_xll.BDH("AMZN US Equity","EQTY_BEF_MINORITY_INT_DETAILED","FQ2 2008","FQ2 2008","Currency=USD","Period=FQ","BEST_FPERIOD_OVERRIDE=FQ","FILING_STATUS=OR","SCALING_FORMAT=MLN","Sort=A","Dates=H","DateFormat=P","Fill=—","Direction=H","UseDPDF=Y")</f>
        <v>2230</v>
      </c>
      <c r="AO52" s="16">
        <f>_xll.BDH("AMZN US Equity","EQTY_BEF_MINORITY_INT_DETAILED","FQ3 2008","FQ3 2008","Currency=USD","Period=FQ","BEST_FPERIOD_OVERRIDE=FQ","FILING_STATUS=OR","SCALING_FORMAT=MLN","Sort=A","Dates=H","DateFormat=P","Fill=—","Direction=H","UseDPDF=Y")</f>
        <v>2527</v>
      </c>
      <c r="AP52" s="16">
        <f>_xll.BDH("AMZN US Equity","EQTY_BEF_MINORITY_INT_DETAILED","FQ4 2008","FQ4 2008","Currency=USD","Period=FQ","BEST_FPERIOD_OVERRIDE=FQ","FILING_STATUS=OR","SCALING_FORMAT=MLN","Sort=A","Dates=H","DateFormat=P","Fill=—","Direction=H","UseDPDF=Y")</f>
        <v>2672</v>
      </c>
    </row>
    <row r="53" spans="1:42" x14ac:dyDescent="0.25">
      <c r="A53" s="10" t="s">
        <v>268</v>
      </c>
      <c r="B53" s="10" t="s">
        <v>269</v>
      </c>
      <c r="C53" s="13">
        <f>_xll.BDH("AMZN US Equity","MINORITY_NONCONTROLLING_INTEREST","FQ4 1998","FQ4 1998","Currency=USD","Period=FQ","BEST_FPERIOD_OVERRIDE=FQ","FILING_STATUS=OR","SCALING_FORMAT=MLN","Sort=A","Dates=H","DateFormat=P","Fill=—","Direction=H","UseDPDF=Y")</f>
        <v>0</v>
      </c>
      <c r="D53" s="13">
        <f>_xll.BDH("AMZN US Equity","MINORITY_NONCONTROLLING_INTEREST","FQ1 1999","FQ1 1999","Currency=USD","Period=FQ","BEST_FPERIOD_OVERRIDE=FQ","FILING_STATUS=OR","SCALING_FORMAT=MLN","Sort=A","Dates=H","DateFormat=P","Fill=—","Direction=H","UseDPDF=Y")</f>
        <v>0</v>
      </c>
      <c r="E53" s="13">
        <f>_xll.BDH("AMZN US Equity","MINORITY_NONCONTROLLING_INTEREST","FQ2 1999","FQ2 1999","Currency=USD","Period=FQ","BEST_FPERIOD_OVERRIDE=FQ","FILING_STATUS=OR","SCALING_FORMAT=MLN","Sort=A","Dates=H","DateFormat=P","Fill=—","Direction=H","UseDPDF=Y")</f>
        <v>0</v>
      </c>
      <c r="F53" s="13">
        <f>_xll.BDH("AMZN US Equity","MINORITY_NONCONTROLLING_INTEREST","FQ3 1999","FQ3 1999","Currency=USD","Period=FQ","BEST_FPERIOD_OVERRIDE=FQ","FILING_STATUS=OR","SCALING_FORMAT=MLN","Sort=A","Dates=H","DateFormat=P","Fill=—","Direction=H","UseDPDF=Y")</f>
        <v>0</v>
      </c>
      <c r="G53" s="13">
        <f>_xll.BDH("AMZN US Equity","MINORITY_NONCONTROLLING_INTEREST","FQ4 1999","FQ4 1999","Currency=USD","Period=FQ","BEST_FPERIOD_OVERRIDE=FQ","FILING_STATUS=OR","SCALING_FORMAT=MLN","Sort=A","Dates=H","DateFormat=P","Fill=—","Direction=H","UseDPDF=Y")</f>
        <v>0</v>
      </c>
      <c r="H53" s="13">
        <f>_xll.BDH("AMZN US Equity","MINORITY_NONCONTROLLING_INTEREST","FQ1 2000","FQ1 2000","Currency=USD","Period=FQ","BEST_FPERIOD_OVERRIDE=FQ","FILING_STATUS=OR","SCALING_FORMAT=MLN","Sort=A","Dates=H","DateFormat=P","Fill=—","Direction=H","UseDPDF=Y")</f>
        <v>0</v>
      </c>
      <c r="I53" s="13">
        <f>_xll.BDH("AMZN US Equity","MINORITY_NONCONTROLLING_INTEREST","FQ3 2000","FQ3 2000","Currency=USD","Period=FQ","BEST_FPERIOD_OVERRIDE=FQ","FILING_STATUS=OR","SCALING_FORMAT=MLN","Sort=A","Dates=H","DateFormat=P","Fill=—","Direction=H","UseDPDF=Y")</f>
        <v>0</v>
      </c>
      <c r="J53" s="13">
        <f>_xll.BDH("AMZN US Equity","MINORITY_NONCONTROLLING_INTEREST","FQ4 2000","FQ4 2000","Currency=USD","Period=FQ","BEST_FPERIOD_OVERRIDE=FQ","FILING_STATUS=OR","SCALING_FORMAT=MLN","Sort=A","Dates=H","DateFormat=P","Fill=—","Direction=H","UseDPDF=Y")</f>
        <v>0</v>
      </c>
      <c r="K53" s="13">
        <f>_xll.BDH("AMZN US Equity","MINORITY_NONCONTROLLING_INTEREST","FQ1 2001","FQ1 2001","Currency=USD","Period=FQ","BEST_FPERIOD_OVERRIDE=FQ","FILING_STATUS=OR","SCALING_FORMAT=MLN","Sort=A","Dates=H","DateFormat=P","Fill=—","Direction=H","UseDPDF=Y")</f>
        <v>0</v>
      </c>
      <c r="L53" s="13">
        <f>_xll.BDH("AMZN US Equity","MINORITY_NONCONTROLLING_INTEREST","FQ2 2001","FQ2 2001","Currency=USD","Period=FQ","BEST_FPERIOD_OVERRIDE=FQ","FILING_STATUS=OR","SCALING_FORMAT=MLN","Sort=A","Dates=H","DateFormat=P","Fill=—","Direction=H","UseDPDF=Y")</f>
        <v>0</v>
      </c>
      <c r="M53" s="13">
        <f>_xll.BDH("AMZN US Equity","MINORITY_NONCONTROLLING_INTEREST","FQ3 2001","FQ3 2001","Currency=USD","Period=FQ","BEST_FPERIOD_OVERRIDE=FQ","FILING_STATUS=OR","SCALING_FORMAT=MLN","Sort=A","Dates=H","DateFormat=P","Fill=—","Direction=H","UseDPDF=Y")</f>
        <v>0</v>
      </c>
      <c r="N53" s="13">
        <f>_xll.BDH("AMZN US Equity","MINORITY_NONCONTROLLING_INTEREST","FQ4 2001","FQ4 2001","Currency=USD","Period=FQ","BEST_FPERIOD_OVERRIDE=FQ","FILING_STATUS=OR","SCALING_FORMAT=MLN","Sort=A","Dates=H","DateFormat=P","Fill=—","Direction=H","UseDPDF=Y")</f>
        <v>0</v>
      </c>
      <c r="O53" s="13">
        <f>_xll.BDH("AMZN US Equity","MINORITY_NONCONTROLLING_INTEREST","FQ1 2002","FQ1 2002","Currency=USD","Period=FQ","BEST_FPERIOD_OVERRIDE=FQ","FILING_STATUS=OR","SCALING_FORMAT=MLN","Sort=A","Dates=H","DateFormat=P","Fill=—","Direction=H","UseDPDF=Y")</f>
        <v>0</v>
      </c>
      <c r="P53" s="13">
        <f>_xll.BDH("AMZN US Equity","MINORITY_NONCONTROLLING_INTEREST","FQ2 2002","FQ2 2002","Currency=USD","Period=FQ","BEST_FPERIOD_OVERRIDE=FQ","FILING_STATUS=OR","SCALING_FORMAT=MLN","Sort=A","Dates=H","DateFormat=P","Fill=—","Direction=H","UseDPDF=Y")</f>
        <v>0</v>
      </c>
      <c r="Q53" s="13">
        <f>_xll.BDH("AMZN US Equity","MINORITY_NONCONTROLLING_INTEREST","FQ3 2002","FQ3 2002","Currency=USD","Period=FQ","BEST_FPERIOD_OVERRIDE=FQ","FILING_STATUS=OR","SCALING_FORMAT=MLN","Sort=A","Dates=H","DateFormat=P","Fill=—","Direction=H","UseDPDF=Y")</f>
        <v>0</v>
      </c>
      <c r="R53" s="13">
        <f>_xll.BDH("AMZN US Equity","MINORITY_NONCONTROLLING_INTEREST","FQ4 2002","FQ4 2002","Currency=USD","Period=FQ","BEST_FPERIOD_OVERRIDE=FQ","FILING_STATUS=OR","SCALING_FORMAT=MLN","Sort=A","Dates=H","DateFormat=P","Fill=—","Direction=H","UseDPDF=Y")</f>
        <v>0</v>
      </c>
      <c r="S53" s="13">
        <f>_xll.BDH("AMZN US Equity","MINORITY_NONCONTROLLING_INTEREST","FQ1 2003","FQ1 2003","Currency=USD","Period=FQ","BEST_FPERIOD_OVERRIDE=FQ","FILING_STATUS=OR","SCALING_FORMAT=MLN","Sort=A","Dates=H","DateFormat=P","Fill=—","Direction=H","UseDPDF=Y")</f>
        <v>0</v>
      </c>
      <c r="T53" s="13">
        <f>_xll.BDH("AMZN US Equity","MINORITY_NONCONTROLLING_INTEREST","FQ2 2003","FQ2 2003","Currency=USD","Period=FQ","BEST_FPERIOD_OVERRIDE=FQ","FILING_STATUS=OR","SCALING_FORMAT=MLN","Sort=A","Dates=H","DateFormat=P","Fill=—","Direction=H","UseDPDF=Y")</f>
        <v>0</v>
      </c>
      <c r="U53" s="13">
        <f>_xll.BDH("AMZN US Equity","MINORITY_NONCONTROLLING_INTEREST","FQ3 2003","FQ3 2003","Currency=USD","Period=FQ","BEST_FPERIOD_OVERRIDE=FQ","FILING_STATUS=OR","SCALING_FORMAT=MLN","Sort=A","Dates=H","DateFormat=P","Fill=—","Direction=H","UseDPDF=Y")</f>
        <v>0</v>
      </c>
      <c r="V53" s="13">
        <f>_xll.BDH("AMZN US Equity","MINORITY_NONCONTROLLING_INTEREST","FQ4 2003","FQ4 2003","Currency=USD","Period=FQ","BEST_FPERIOD_OVERRIDE=FQ","FILING_STATUS=OR","SCALING_FORMAT=MLN","Sort=A","Dates=H","DateFormat=P","Fill=—","Direction=H","UseDPDF=Y")</f>
        <v>0</v>
      </c>
      <c r="W53" s="13">
        <f>_xll.BDH("AMZN US Equity","MINORITY_NONCONTROLLING_INTEREST","FQ1 2004","FQ1 2004","Currency=USD","Period=FQ","BEST_FPERIOD_OVERRIDE=FQ","FILING_STATUS=OR","SCALING_FORMAT=MLN","Sort=A","Dates=H","DateFormat=P","Fill=—","Direction=H","UseDPDF=Y")</f>
        <v>0</v>
      </c>
      <c r="X53" s="13">
        <f>_xll.BDH("AMZN US Equity","MINORITY_NONCONTROLLING_INTEREST","FQ2 2004","FQ2 2004","Currency=USD","Period=FQ","BEST_FPERIOD_OVERRIDE=FQ","FILING_STATUS=OR","SCALING_FORMAT=MLN","Sort=A","Dates=H","DateFormat=P","Fill=—","Direction=H","UseDPDF=Y")</f>
        <v>0</v>
      </c>
      <c r="Y53" s="13">
        <f>_xll.BDH("AMZN US Equity","MINORITY_NONCONTROLLING_INTEREST","FQ3 2004","FQ3 2004","Currency=USD","Period=FQ","BEST_FPERIOD_OVERRIDE=FQ","FILING_STATUS=OR","SCALING_FORMAT=MLN","Sort=A","Dates=H","DateFormat=P","Fill=—","Direction=H","UseDPDF=Y")</f>
        <v>0</v>
      </c>
      <c r="Z53" s="13">
        <f>_xll.BDH("AMZN US Equity","MINORITY_NONCONTROLLING_INTEREST","FQ4 2004","FQ4 2004","Currency=USD","Period=FQ","BEST_FPERIOD_OVERRIDE=FQ","FILING_STATUS=OR","SCALING_FORMAT=MLN","Sort=A","Dates=H","DateFormat=P","Fill=—","Direction=H","UseDPDF=Y")</f>
        <v>0</v>
      </c>
      <c r="AA53" s="13">
        <f>_xll.BDH("AMZN US Equity","MINORITY_NONCONTROLLING_INTEREST","FQ1 2005","FQ1 2005","Currency=USD","Period=FQ","BEST_FPERIOD_OVERRIDE=FQ","FILING_STATUS=OR","SCALING_FORMAT=MLN","Sort=A","Dates=H","DateFormat=P","Fill=—","Direction=H","UseDPDF=Y")</f>
        <v>0</v>
      </c>
      <c r="AB53" s="13">
        <f>_xll.BDH("AMZN US Equity","MINORITY_NONCONTROLLING_INTEREST","FQ2 2005","FQ2 2005","Currency=USD","Period=FQ","BEST_FPERIOD_OVERRIDE=FQ","FILING_STATUS=OR","SCALING_FORMAT=MLN","Sort=A","Dates=H","DateFormat=P","Fill=—","Direction=H","UseDPDF=Y")</f>
        <v>0</v>
      </c>
      <c r="AC53" s="13">
        <f>_xll.BDH("AMZN US Equity","MINORITY_NONCONTROLLING_INTEREST","FQ3 2005","FQ3 2005","Currency=USD","Period=FQ","BEST_FPERIOD_OVERRIDE=FQ","FILING_STATUS=OR","SCALING_FORMAT=MLN","Sort=A","Dates=H","DateFormat=P","Fill=—","Direction=H","UseDPDF=Y")</f>
        <v>0</v>
      </c>
      <c r="AD53" s="13">
        <f>_xll.BDH("AMZN US Equity","MINORITY_NONCONTROLLING_INTEREST","FQ4 2005","FQ4 2005","Currency=USD","Period=FQ","BEST_FPERIOD_OVERRIDE=FQ","FILING_STATUS=OR","SCALING_FORMAT=MLN","Sort=A","Dates=H","DateFormat=P","Fill=—","Direction=H","UseDPDF=Y")</f>
        <v>0</v>
      </c>
      <c r="AE53" s="13">
        <f>_xll.BDH("AMZN US Equity","MINORITY_NONCONTROLLING_INTEREST","FQ1 2006","FQ1 2006","Currency=USD","Period=FQ","BEST_FPERIOD_OVERRIDE=FQ","FILING_STATUS=OR","SCALING_FORMAT=MLN","Sort=A","Dates=H","DateFormat=P","Fill=—","Direction=H","UseDPDF=Y")</f>
        <v>0</v>
      </c>
      <c r="AF53" s="13">
        <f>_xll.BDH("AMZN US Equity","MINORITY_NONCONTROLLING_INTEREST","FQ2 2006","FQ2 2006","Currency=USD","Period=FQ","BEST_FPERIOD_OVERRIDE=FQ","FILING_STATUS=OR","SCALING_FORMAT=MLN","Sort=A","Dates=H","DateFormat=P","Fill=—","Direction=H","UseDPDF=Y")</f>
        <v>0</v>
      </c>
      <c r="AG53" s="13">
        <f>_xll.BDH("AMZN US Equity","MINORITY_NONCONTROLLING_INTEREST","FQ3 2006","FQ3 2006","Currency=USD","Period=FQ","BEST_FPERIOD_OVERRIDE=FQ","FILING_STATUS=OR","SCALING_FORMAT=MLN","Sort=A","Dates=H","DateFormat=P","Fill=—","Direction=H","UseDPDF=Y")</f>
        <v>0</v>
      </c>
      <c r="AH53" s="13">
        <f>_xll.BDH("AMZN US Equity","MINORITY_NONCONTROLLING_INTEREST","FQ4 2006","FQ4 2006","Currency=USD","Period=FQ","BEST_FPERIOD_OVERRIDE=FQ","FILING_STATUS=OR","SCALING_FORMAT=MLN","Sort=A","Dates=H","DateFormat=P","Fill=—","Direction=H","UseDPDF=Y")</f>
        <v>0</v>
      </c>
      <c r="AI53" s="13">
        <f>_xll.BDH("AMZN US Equity","MINORITY_NONCONTROLLING_INTEREST","FQ1 2007","FQ1 2007","Currency=USD","Period=FQ","BEST_FPERIOD_OVERRIDE=FQ","FILING_STATUS=OR","SCALING_FORMAT=MLN","Sort=A","Dates=H","DateFormat=P","Fill=—","Direction=H","UseDPDF=Y")</f>
        <v>0</v>
      </c>
      <c r="AJ53" s="13">
        <f>_xll.BDH("AMZN US Equity","MINORITY_NONCONTROLLING_INTEREST","FQ2 2007","FQ2 2007","Currency=USD","Period=FQ","BEST_FPERIOD_OVERRIDE=FQ","FILING_STATUS=OR","SCALING_FORMAT=MLN","Sort=A","Dates=H","DateFormat=P","Fill=—","Direction=H","UseDPDF=Y")</f>
        <v>0</v>
      </c>
      <c r="AK53" s="13">
        <f>_xll.BDH("AMZN US Equity","MINORITY_NONCONTROLLING_INTEREST","FQ3 2007","FQ3 2007","Currency=USD","Period=FQ","BEST_FPERIOD_OVERRIDE=FQ","FILING_STATUS=OR","SCALING_FORMAT=MLN","Sort=A","Dates=H","DateFormat=P","Fill=—","Direction=H","UseDPDF=Y")</f>
        <v>0</v>
      </c>
      <c r="AL53" s="13">
        <f>_xll.BDH("AMZN US Equity","MINORITY_NONCONTROLLING_INTEREST","FQ4 2007","FQ4 2007","Currency=USD","Period=FQ","BEST_FPERIOD_OVERRIDE=FQ","FILING_STATUS=OR","SCALING_FORMAT=MLN","Sort=A","Dates=H","DateFormat=P","Fill=—","Direction=H","UseDPDF=Y")</f>
        <v>0</v>
      </c>
      <c r="AM53" s="13">
        <f>_xll.BDH("AMZN US Equity","MINORITY_NONCONTROLLING_INTEREST","FQ1 2008","FQ1 2008","Currency=USD","Period=FQ","BEST_FPERIOD_OVERRIDE=FQ","FILING_STATUS=OR","SCALING_FORMAT=MLN","Sort=A","Dates=H","DateFormat=P","Fill=—","Direction=H","UseDPDF=Y")</f>
        <v>0</v>
      </c>
      <c r="AN53" s="13">
        <f>_xll.BDH("AMZN US Equity","MINORITY_NONCONTROLLING_INTEREST","FQ2 2008","FQ2 2008","Currency=USD","Period=FQ","BEST_FPERIOD_OVERRIDE=FQ","FILING_STATUS=OR","SCALING_FORMAT=MLN","Sort=A","Dates=H","DateFormat=P","Fill=—","Direction=H","UseDPDF=Y")</f>
        <v>0</v>
      </c>
      <c r="AO53" s="13">
        <f>_xll.BDH("AMZN US Equity","MINORITY_NONCONTROLLING_INTEREST","FQ3 2008","FQ3 2008","Currency=USD","Period=FQ","BEST_FPERIOD_OVERRIDE=FQ","FILING_STATUS=OR","SCALING_FORMAT=MLN","Sort=A","Dates=H","DateFormat=P","Fill=—","Direction=H","UseDPDF=Y")</f>
        <v>0</v>
      </c>
      <c r="AP53" s="13" t="str">
        <f>_xll.BDH("AMZN US Equity","MINORITY_NONCONTROLLING_INTEREST","FQ4 2008","FQ4 2008","Currency=USD","Period=FQ","BEST_FPERIOD_OVERRIDE=FQ","FILING_STATUS=OR","SCALING_FORMAT=MLN","Sort=A","Dates=H","DateFormat=P","Fill=—","Direction=H","UseDPDF=Y")</f>
        <v>—</v>
      </c>
    </row>
    <row r="54" spans="1:42" x14ac:dyDescent="0.25">
      <c r="A54" s="6" t="s">
        <v>270</v>
      </c>
      <c r="B54" s="6" t="s">
        <v>271</v>
      </c>
      <c r="C54" s="16">
        <f>_xll.BDH("AMZN US Equity","TOTAL_EQUITY","FQ4 1998","FQ4 1998","Currency=USD","Period=FQ","BEST_FPERIOD_OVERRIDE=FQ","FILING_STATUS=OR","SCALING_FORMAT=MLN","Sort=A","Dates=H","DateFormat=P","Fill=—","Direction=H","UseDPDF=Y")</f>
        <v>138.745</v>
      </c>
      <c r="D54" s="16">
        <f>_xll.BDH("AMZN US Equity","TOTAL_EQUITY","FQ1 1999","FQ1 1999","Currency=USD","Period=FQ","BEST_FPERIOD_OVERRIDE=FQ","FILING_STATUS=OR","SCALING_FORMAT=MLN","Sort=A","Dates=H","DateFormat=P","Fill=—","Direction=H","UseDPDF=Y")</f>
        <v>77.537000000000006</v>
      </c>
      <c r="E54" s="16">
        <f>_xll.BDH("AMZN US Equity","TOTAL_EQUITY","FQ2 1999","FQ2 1999","Currency=USD","Period=FQ","BEST_FPERIOD_OVERRIDE=FQ","FILING_STATUS=OR","SCALING_FORMAT=MLN","Sort=A","Dates=H","DateFormat=P","Fill=—","Direction=H","UseDPDF=Y")</f>
        <v>571.04600000000005</v>
      </c>
      <c r="F54" s="16">
        <f>_xll.BDH("AMZN US Equity","TOTAL_EQUITY","FQ3 1999","FQ3 1999","Currency=USD","Period=FQ","BEST_FPERIOD_OVERRIDE=FQ","FILING_STATUS=OR","SCALING_FORMAT=MLN","Sort=A","Dates=H","DateFormat=P","Fill=—","Direction=H","UseDPDF=Y")</f>
        <v>419.92500000000001</v>
      </c>
      <c r="G54" s="16">
        <f>_xll.BDH("AMZN US Equity","TOTAL_EQUITY","FQ4 1999","FQ4 1999","Currency=USD","Period=FQ","BEST_FPERIOD_OVERRIDE=FQ","FILING_STATUS=OR","SCALING_FORMAT=MLN","Sort=A","Dates=H","DateFormat=P","Fill=—","Direction=H","UseDPDF=Y")</f>
        <v>266.27800000000002</v>
      </c>
      <c r="H54" s="16">
        <f>_xll.BDH("AMZN US Equity","TOTAL_EQUITY","FQ1 2000","FQ1 2000","Currency=USD","Period=FQ","BEST_FPERIOD_OVERRIDE=FQ","FILING_STATUS=OR","SCALING_FORMAT=MLN","Sort=A","Dates=H","DateFormat=P","Fill=—","Direction=H","UseDPDF=Y")</f>
        <v>25.617000000000001</v>
      </c>
      <c r="I54" s="16">
        <f>_xll.BDH("AMZN US Equity","TOTAL_EQUITY","FQ3 2000","FQ3 2000","Currency=USD","Period=FQ","BEST_FPERIOD_OVERRIDE=FQ","FILING_STATUS=OR","SCALING_FORMAT=MLN","Sort=A","Dates=H","DateFormat=P","Fill=—","Direction=H","UseDPDF=Y")</f>
        <v>-487.16699999999997</v>
      </c>
      <c r="J54" s="16">
        <f>_xll.BDH("AMZN US Equity","TOTAL_EQUITY","FQ4 2000","FQ4 2000","Currency=USD","Period=FQ","BEST_FPERIOD_OVERRIDE=FQ","FILING_STATUS=OR","SCALING_FORMAT=MLN","Sort=A","Dates=H","DateFormat=P","Fill=—","Direction=H","UseDPDF=Y")</f>
        <v>-967.25099999999998</v>
      </c>
      <c r="K54" s="16">
        <f>_xll.BDH("AMZN US Equity","TOTAL_EQUITY","FQ1 2001","FQ1 2001","Currency=USD","Period=FQ","BEST_FPERIOD_OVERRIDE=FQ","FILING_STATUS=OR","SCALING_FORMAT=MLN","Sort=A","Dates=H","DateFormat=P","Fill=—","Direction=H","UseDPDF=Y")</f>
        <v>-1253.4110000000001</v>
      </c>
      <c r="L54" s="16">
        <f>_xll.BDH("AMZN US Equity","TOTAL_EQUITY","FQ2 2001","FQ2 2001","Currency=USD","Period=FQ","BEST_FPERIOD_OVERRIDE=FQ","FILING_STATUS=OR","SCALING_FORMAT=MLN","Sort=A","Dates=H","DateFormat=P","Fill=—","Direction=H","UseDPDF=Y")</f>
        <v>-1429.931</v>
      </c>
      <c r="M54" s="16">
        <f>_xll.BDH("AMZN US Equity","TOTAL_EQUITY","FQ3 2001","FQ3 2001","Currency=USD","Period=FQ","BEST_FPERIOD_OVERRIDE=FQ","FILING_STATUS=OR","SCALING_FORMAT=MLN","Sort=A","Dates=H","DateFormat=P","Fill=—","Direction=H","UseDPDF=Y")</f>
        <v>-1453.9939999999999</v>
      </c>
      <c r="N54" s="16">
        <f>_xll.BDH("AMZN US Equity","TOTAL_EQUITY","FQ4 2001","FQ4 2001","Currency=USD","Period=FQ","BEST_FPERIOD_OVERRIDE=FQ","FILING_STATUS=OR","SCALING_FORMAT=MLN","Sort=A","Dates=H","DateFormat=P","Fill=—","Direction=H","UseDPDF=Y")</f>
        <v>-1440</v>
      </c>
      <c r="O54" s="16">
        <f>_xll.BDH("AMZN US Equity","TOTAL_EQUITY","FQ1 2002","FQ1 2002","Currency=USD","Period=FQ","BEST_FPERIOD_OVERRIDE=FQ","FILING_STATUS=OR","SCALING_FORMAT=MLN","Sort=A","Dates=H","DateFormat=P","Fill=—","Direction=H","UseDPDF=Y")</f>
        <v>-1447.375</v>
      </c>
      <c r="P54" s="16">
        <f>_xll.BDH("AMZN US Equity","TOTAL_EQUITY","FQ2 2002","FQ2 2002","Currency=USD","Period=FQ","BEST_FPERIOD_OVERRIDE=FQ","FILING_STATUS=OR","SCALING_FORMAT=MLN","Sort=A","Dates=H","DateFormat=P","Fill=—","Direction=H","UseDPDF=Y")</f>
        <v>-1443.9110000000001</v>
      </c>
      <c r="Q54" s="16">
        <f>_xll.BDH("AMZN US Equity","TOTAL_EQUITY","FQ3 2002","FQ3 2002","Currency=USD","Period=FQ","BEST_FPERIOD_OVERRIDE=FQ","FILING_STATUS=OR","SCALING_FORMAT=MLN","Sort=A","Dates=H","DateFormat=P","Fill=—","Direction=H","UseDPDF=Y")</f>
        <v>-1478.4387999999999</v>
      </c>
      <c r="R54" s="16">
        <f>_xll.BDH("AMZN US Equity","TOTAL_EQUITY","FQ4 2002","FQ4 2002","Currency=USD","Period=FQ","BEST_FPERIOD_OVERRIDE=FQ","FILING_STATUS=OR","SCALING_FORMAT=MLN","Sort=A","Dates=H","DateFormat=P","Fill=—","Direction=H","UseDPDF=Y")</f>
        <v>-1352.8140000000001</v>
      </c>
      <c r="S54" s="16">
        <f>_xll.BDH("AMZN US Equity","TOTAL_EQUITY","FQ1 2003","FQ1 2003","Currency=USD","Period=FQ","BEST_FPERIOD_OVERRIDE=FQ","FILING_STATUS=OR","SCALING_FORMAT=MLN","Sort=A","Dates=H","DateFormat=P","Fill=—","Direction=H","UseDPDF=Y")</f>
        <v>-1289.0640000000001</v>
      </c>
      <c r="T54" s="16">
        <f>_xll.BDH("AMZN US Equity","TOTAL_EQUITY","FQ2 2003","FQ2 2003","Currency=USD","Period=FQ","BEST_FPERIOD_OVERRIDE=FQ","FILING_STATUS=OR","SCALING_FORMAT=MLN","Sort=A","Dates=H","DateFormat=P","Fill=—","Direction=H","UseDPDF=Y")</f>
        <v>-1246.8359</v>
      </c>
      <c r="U54" s="16">
        <f>_xll.BDH("AMZN US Equity","TOTAL_EQUITY","FQ3 2003","FQ3 2003","Currency=USD","Period=FQ","BEST_FPERIOD_OVERRIDE=FQ","FILING_STATUS=OR","SCALING_FORMAT=MLN","Sort=A","Dates=H","DateFormat=P","Fill=—","Direction=H","UseDPDF=Y")</f>
        <v>-1158.0338999999999</v>
      </c>
      <c r="V54" s="16">
        <f>_xll.BDH("AMZN US Equity","TOTAL_EQUITY","FQ4 2003","FQ4 2003","Currency=USD","Period=FQ","BEST_FPERIOD_OVERRIDE=FQ","FILING_STATUS=OR","SCALING_FORMAT=MLN","Sort=A","Dates=H","DateFormat=P","Fill=—","Direction=H","UseDPDF=Y")</f>
        <v>-1036.1070999999999</v>
      </c>
      <c r="W54" s="16">
        <f>_xll.BDH("AMZN US Equity","TOTAL_EQUITY","FQ1 2004","FQ1 2004","Currency=USD","Period=FQ","BEST_FPERIOD_OVERRIDE=FQ","FILING_STATUS=OR","SCALING_FORMAT=MLN","Sort=A","Dates=H","DateFormat=P","Fill=—","Direction=H","UseDPDF=Y")</f>
        <v>-905.04989999999998</v>
      </c>
      <c r="X54" s="16">
        <f>_xll.BDH("AMZN US Equity","TOTAL_EQUITY","FQ2 2004","FQ2 2004","Currency=USD","Period=FQ","BEST_FPERIOD_OVERRIDE=FQ","FILING_STATUS=OR","SCALING_FORMAT=MLN","Sort=A","Dates=H","DateFormat=P","Fill=—","Direction=H","UseDPDF=Y")</f>
        <v>-790.85799999999995</v>
      </c>
      <c r="Y54" s="16">
        <f>_xll.BDH("AMZN US Equity","TOTAL_EQUITY","FQ3 2004","FQ3 2004","Currency=USD","Period=FQ","BEST_FPERIOD_OVERRIDE=FQ","FILING_STATUS=OR","SCALING_FORMAT=MLN","Sort=A","Dates=H","DateFormat=P","Fill=—","Direction=H","UseDPDF=Y")</f>
        <v>-721.07680000000005</v>
      </c>
      <c r="Z54" s="16">
        <f>_xll.BDH("AMZN US Equity","TOTAL_EQUITY","FQ4 2004","FQ4 2004","Currency=USD","Period=FQ","BEST_FPERIOD_OVERRIDE=FQ","FILING_STATUS=OR","SCALING_FORMAT=MLN","Sort=A","Dates=H","DateFormat=P","Fill=—","Direction=H","UseDPDF=Y")</f>
        <v>-227.21090000000001</v>
      </c>
      <c r="AA54" s="16">
        <f>_xll.BDH("AMZN US Equity","TOTAL_EQUITY","FQ1 2005","FQ1 2005","Currency=USD","Period=FQ","BEST_FPERIOD_OVERRIDE=FQ","FILING_STATUS=OR","SCALING_FORMAT=MLN","Sort=A","Dates=H","DateFormat=P","Fill=—","Direction=H","UseDPDF=Y")</f>
        <v>-162</v>
      </c>
      <c r="AB54" s="16">
        <f>_xll.BDH("AMZN US Equity","TOTAL_EQUITY","FQ2 2005","FQ2 2005","Currency=USD","Period=FQ","BEST_FPERIOD_OVERRIDE=FQ","FILING_STATUS=OR","SCALING_FORMAT=MLN","Sort=A","Dates=H","DateFormat=P","Fill=—","Direction=H","UseDPDF=Y")</f>
        <v>-64</v>
      </c>
      <c r="AC54" s="16">
        <f>_xll.BDH("AMZN US Equity","TOTAL_EQUITY","FQ3 2005","FQ3 2005","Currency=USD","Period=FQ","BEST_FPERIOD_OVERRIDE=FQ","FILING_STATUS=OR","SCALING_FORMAT=MLN","Sort=A","Dates=H","DateFormat=P","Fill=—","Direction=H","UseDPDF=Y")</f>
        <v>6</v>
      </c>
      <c r="AD54" s="16">
        <f>_xll.BDH("AMZN US Equity","TOTAL_EQUITY","FQ4 2005","FQ4 2005","Currency=USD","Period=FQ","BEST_FPERIOD_OVERRIDE=FQ","FILING_STATUS=OR","SCALING_FORMAT=MLN","Sort=A","Dates=H","DateFormat=P","Fill=—","Direction=H","UseDPDF=Y")</f>
        <v>246</v>
      </c>
      <c r="AE54" s="16">
        <f>_xll.BDH("AMZN US Equity","TOTAL_EQUITY","FQ1 2006","FQ1 2006","Currency=USD","Period=FQ","BEST_FPERIOD_OVERRIDE=FQ","FILING_STATUS=OR","SCALING_FORMAT=MLN","Sort=A","Dates=H","DateFormat=P","Fill=—","Direction=H","UseDPDF=Y")</f>
        <v>324</v>
      </c>
      <c r="AF54" s="16">
        <f>_xll.BDH("AMZN US Equity","TOTAL_EQUITY","FQ2 2006","FQ2 2006","Currency=USD","Period=FQ","BEST_FPERIOD_OVERRIDE=FQ","FILING_STATUS=OR","SCALING_FORMAT=MLN","Sort=A","Dates=H","DateFormat=P","Fill=—","Direction=H","UseDPDF=Y")</f>
        <v>383</v>
      </c>
      <c r="AG54" s="16">
        <f>_xll.BDH("AMZN US Equity","TOTAL_EQUITY","FQ3 2006","FQ3 2006","Currency=USD","Period=FQ","BEST_FPERIOD_OVERRIDE=FQ","FILING_STATUS=OR","SCALING_FORMAT=MLN","Sort=A","Dates=H","DateFormat=P","Fill=—","Direction=H","UseDPDF=Y")</f>
        <v>196</v>
      </c>
      <c r="AH54" s="16">
        <f>_xll.BDH("AMZN US Equity","TOTAL_EQUITY","FQ4 2006","FQ4 2006","Currency=USD","Period=FQ","BEST_FPERIOD_OVERRIDE=FQ","FILING_STATUS=OR","SCALING_FORMAT=MLN","Sort=A","Dates=H","DateFormat=P","Fill=—","Direction=H","UseDPDF=Y")</f>
        <v>431</v>
      </c>
      <c r="AI54" s="16">
        <f>_xll.BDH("AMZN US Equity","TOTAL_EQUITY","FQ1 2007","FQ1 2007","Currency=USD","Period=FQ","BEST_FPERIOD_OVERRIDE=FQ","FILING_STATUS=OR","SCALING_FORMAT=MLN","Sort=A","Dates=H","DateFormat=P","Fill=—","Direction=H","UseDPDF=Y")</f>
        <v>353</v>
      </c>
      <c r="AJ54" s="16">
        <f>_xll.BDH("AMZN US Equity","TOTAL_EQUITY","FQ2 2007","FQ2 2007","Currency=USD","Period=FQ","BEST_FPERIOD_OVERRIDE=FQ","FILING_STATUS=OR","SCALING_FORMAT=MLN","Sort=A","Dates=H","DateFormat=P","Fill=—","Direction=H","UseDPDF=Y")</f>
        <v>550</v>
      </c>
      <c r="AK54" s="16">
        <f>_xll.BDH("AMZN US Equity","TOTAL_EQUITY","FQ3 2007","FQ3 2007","Currency=USD","Period=FQ","BEST_FPERIOD_OVERRIDE=FQ","FILING_STATUS=OR","SCALING_FORMAT=MLN","Sort=A","Dates=H","DateFormat=P","Fill=—","Direction=H","UseDPDF=Y")</f>
        <v>761</v>
      </c>
      <c r="AL54" s="16">
        <f>_xll.BDH("AMZN US Equity","TOTAL_EQUITY","FQ4 2007","FQ4 2007","Currency=USD","Period=FQ","BEST_FPERIOD_OVERRIDE=FQ","FILING_STATUS=OR","SCALING_FORMAT=MLN","Sort=A","Dates=H","DateFormat=P","Fill=—","Direction=H","UseDPDF=Y")</f>
        <v>1197</v>
      </c>
      <c r="AM54" s="16">
        <f>_xll.BDH("AMZN US Equity","TOTAL_EQUITY","FQ1 2008","FQ1 2008","Currency=USD","Period=FQ","BEST_FPERIOD_OVERRIDE=FQ","FILING_STATUS=OR","SCALING_FORMAT=MLN","Sort=A","Dates=H","DateFormat=P","Fill=—","Direction=H","UseDPDF=Y")</f>
        <v>1470</v>
      </c>
      <c r="AN54" s="16">
        <f>_xll.BDH("AMZN US Equity","TOTAL_EQUITY","FQ2 2008","FQ2 2008","Currency=USD","Period=FQ","BEST_FPERIOD_OVERRIDE=FQ","FILING_STATUS=OR","SCALING_FORMAT=MLN","Sort=A","Dates=H","DateFormat=P","Fill=—","Direction=H","UseDPDF=Y")</f>
        <v>2230</v>
      </c>
      <c r="AO54" s="16">
        <f>_xll.BDH("AMZN US Equity","TOTAL_EQUITY","FQ3 2008","FQ3 2008","Currency=USD","Period=FQ","BEST_FPERIOD_OVERRIDE=FQ","FILING_STATUS=OR","SCALING_FORMAT=MLN","Sort=A","Dates=H","DateFormat=P","Fill=—","Direction=H","UseDPDF=Y")</f>
        <v>2527</v>
      </c>
      <c r="AP54" s="16">
        <f>_xll.BDH("AMZN US Equity","TOTAL_EQUITY","FQ4 2008","FQ4 2008","Currency=USD","Period=FQ","BEST_FPERIOD_OVERRIDE=FQ","FILING_STATUS=OR","SCALING_FORMAT=MLN","Sort=A","Dates=H","DateFormat=P","Fill=—","Direction=H","UseDPDF=Y")</f>
        <v>2672</v>
      </c>
    </row>
    <row r="55" spans="1:42" x14ac:dyDescent="0.25">
      <c r="A55" s="6" t="s">
        <v>272</v>
      </c>
      <c r="B55" s="6" t="s">
        <v>273</v>
      </c>
      <c r="C55" s="16">
        <f>_xll.BDH("AMZN US Equity","TOT_LIAB_AND_EQY","FQ4 1998","FQ4 1998","Currency=USD","Period=FQ","BEST_FPERIOD_OVERRIDE=FQ","FILING_STATUS=OR","SCALING_FORMAT=MLN","Sort=A","Dates=H","DateFormat=P","Fill=—","Direction=H","UseDPDF=Y")</f>
        <v>648.46</v>
      </c>
      <c r="D55" s="16">
        <f>_xll.BDH("AMZN US Equity","TOT_LIAB_AND_EQY","FQ1 1999","FQ1 1999","Currency=USD","Period=FQ","BEST_FPERIOD_OVERRIDE=FQ","FILING_STATUS=OR","SCALING_FORMAT=MLN","Sort=A","Dates=H","DateFormat=P","Fill=—","Direction=H","UseDPDF=Y")</f>
        <v>1812.9840999999999</v>
      </c>
      <c r="E55" s="16">
        <f>_xll.BDH("AMZN US Equity","TOT_LIAB_AND_EQY","FQ2 1999","FQ2 1999","Currency=USD","Period=FQ","BEST_FPERIOD_OVERRIDE=FQ","FILING_STATUS=OR","SCALING_FORMAT=MLN","Sort=A","Dates=H","DateFormat=P","Fill=—","Direction=H","UseDPDF=Y")</f>
        <v>2298.2139999999999</v>
      </c>
      <c r="F55" s="16">
        <f>_xll.BDH("AMZN US Equity","TOT_LIAB_AND_EQY","FQ3 1999","FQ3 1999","Currency=USD","Period=FQ","BEST_FPERIOD_OVERRIDE=FQ","FILING_STATUS=OR","SCALING_FORMAT=MLN","Sort=A","Dates=H","DateFormat=P","Fill=—","Direction=H","UseDPDF=Y")</f>
        <v>2239.799</v>
      </c>
      <c r="G55" s="16">
        <f>_xll.BDH("AMZN US Equity","TOT_LIAB_AND_EQY","FQ4 1999","FQ4 1999","Currency=USD","Period=FQ","BEST_FPERIOD_OVERRIDE=FQ","FILING_STATUS=OR","SCALING_FORMAT=MLN","Sort=A","Dates=H","DateFormat=P","Fill=—","Direction=H","UseDPDF=Y")</f>
        <v>2471.5509999999999</v>
      </c>
      <c r="H55" s="16">
        <f>_xll.BDH("AMZN US Equity","TOT_LIAB_AND_EQY","FQ1 2000","FQ1 2000","Currency=USD","Period=FQ","BEST_FPERIOD_OVERRIDE=FQ","FILING_STATUS=OR","SCALING_FORMAT=MLN","Sort=A","Dates=H","DateFormat=P","Fill=—","Direction=H","UseDPDF=Y")</f>
        <v>2729.7429999999999</v>
      </c>
      <c r="I55" s="16">
        <f>_xll.BDH("AMZN US Equity","TOT_LIAB_AND_EQY","FQ3 2000","FQ3 2000","Currency=USD","Period=FQ","BEST_FPERIOD_OVERRIDE=FQ","FILING_STATUS=OR","SCALING_FORMAT=MLN","Sort=A","Dates=H","DateFormat=P","Fill=—","Direction=H","UseDPDF=Y")</f>
        <v>2254.627</v>
      </c>
      <c r="J55" s="16">
        <f>_xll.BDH("AMZN US Equity","TOT_LIAB_AND_EQY","FQ4 2000","FQ4 2000","Currency=USD","Period=FQ","BEST_FPERIOD_OVERRIDE=FQ","FILING_STATUS=OR","SCALING_FORMAT=MLN","Sort=A","Dates=H","DateFormat=P","Fill=—","Direction=H","UseDPDF=Y")</f>
        <v>2135.1691000000001</v>
      </c>
      <c r="K55" s="16">
        <f>_xll.BDH("AMZN US Equity","TOT_LIAB_AND_EQY","FQ1 2001","FQ1 2001","Currency=USD","Period=FQ","BEST_FPERIOD_OVERRIDE=FQ","FILING_STATUS=OR","SCALING_FORMAT=MLN","Sort=A","Dates=H","DateFormat=P","Fill=—","Direction=H","UseDPDF=Y")</f>
        <v>1470.155</v>
      </c>
      <c r="L55" s="16">
        <f>_xll.BDH("AMZN US Equity","TOT_LIAB_AND_EQY","FQ2 2001","FQ2 2001","Currency=USD","Period=FQ","BEST_FPERIOD_OVERRIDE=FQ","FILING_STATUS=OR","SCALING_FORMAT=MLN","Sort=A","Dates=H","DateFormat=P","Fill=—","Direction=H","UseDPDF=Y")</f>
        <v>1345.0360000000001</v>
      </c>
      <c r="M55" s="16">
        <f>_xll.BDH("AMZN US Equity","TOT_LIAB_AND_EQY","FQ3 2001","FQ3 2001","Currency=USD","Period=FQ","BEST_FPERIOD_OVERRIDE=FQ","FILING_STATUS=OR","SCALING_FORMAT=MLN","Sort=A","Dates=H","DateFormat=P","Fill=—","Direction=H","UseDPDF=Y")</f>
        <v>1346.3679999999999</v>
      </c>
      <c r="N55" s="16">
        <f>_xll.BDH("AMZN US Equity","TOT_LIAB_AND_EQY","FQ4 2001","FQ4 2001","Currency=USD","Period=FQ","BEST_FPERIOD_OVERRIDE=FQ","FILING_STATUS=OR","SCALING_FORMAT=MLN","Sort=A","Dates=H","DateFormat=P","Fill=—","Direction=H","UseDPDF=Y")</f>
        <v>1637.5471</v>
      </c>
      <c r="O55" s="16">
        <f>_xll.BDH("AMZN US Equity","TOT_LIAB_AND_EQY","FQ1 2002","FQ1 2002","Currency=USD","Period=FQ","BEST_FPERIOD_OVERRIDE=FQ","FILING_STATUS=OR","SCALING_FORMAT=MLN","Sort=A","Dates=H","DateFormat=P","Fill=—","Direction=H","UseDPDF=Y")</f>
        <v>1361.9280000000001</v>
      </c>
      <c r="P55" s="16">
        <f>_xll.BDH("AMZN US Equity","TOT_LIAB_AND_EQY","FQ2 2002","FQ2 2002","Currency=USD","Period=FQ","BEST_FPERIOD_OVERRIDE=FQ","FILING_STATUS=OR","SCALING_FORMAT=MLN","Sort=A","Dates=H","DateFormat=P","Fill=—","Direction=H","UseDPDF=Y")</f>
        <v>1435.047</v>
      </c>
      <c r="Q55" s="16">
        <f>_xll.BDH("AMZN US Equity","TOT_LIAB_AND_EQY","FQ3 2002","FQ3 2002","Currency=USD","Period=FQ","BEST_FPERIOD_OVERRIDE=FQ","FILING_STATUS=OR","SCALING_FORMAT=MLN","Sort=A","Dates=H","DateFormat=P","Fill=—","Direction=H","UseDPDF=Y")</f>
        <v>1497.4050999999999</v>
      </c>
      <c r="R55" s="16">
        <f>_xll.BDH("AMZN US Equity","TOT_LIAB_AND_EQY","FQ4 2002","FQ4 2002","Currency=USD","Period=FQ","BEST_FPERIOD_OVERRIDE=FQ","FILING_STATUS=OR","SCALING_FORMAT=MLN","Sort=A","Dates=H","DateFormat=P","Fill=—","Direction=H","UseDPDF=Y")</f>
        <v>1990.4490000000001</v>
      </c>
      <c r="S55" s="16">
        <f>_xll.BDH("AMZN US Equity","TOT_LIAB_AND_EQY","FQ1 2003","FQ1 2003","Currency=USD","Period=FQ","BEST_FPERIOD_OVERRIDE=FQ","FILING_STATUS=OR","SCALING_FORMAT=MLN","Sort=A","Dates=H","DateFormat=P","Fill=—","Direction=H","UseDPDF=Y")</f>
        <v>1705.933</v>
      </c>
      <c r="T55" s="16">
        <f>_xll.BDH("AMZN US Equity","TOT_LIAB_AND_EQY","FQ2 2003","FQ2 2003","Currency=USD","Period=FQ","BEST_FPERIOD_OVERRIDE=FQ","FILING_STATUS=OR","SCALING_FORMAT=MLN","Sort=A","Dates=H","DateFormat=P","Fill=—","Direction=H","UseDPDF=Y")</f>
        <v>1596.8539000000001</v>
      </c>
      <c r="U55" s="16">
        <f>_xll.BDH("AMZN US Equity","TOT_LIAB_AND_EQY","FQ3 2003","FQ3 2003","Currency=USD","Period=FQ","BEST_FPERIOD_OVERRIDE=FQ","FILING_STATUS=OR","SCALING_FORMAT=MLN","Sort=A","Dates=H","DateFormat=P","Fill=—","Direction=H","UseDPDF=Y")</f>
        <v>1749.6850999999999</v>
      </c>
      <c r="V55" s="16">
        <f>_xll.BDH("AMZN US Equity","TOT_LIAB_AND_EQY","FQ4 2003","FQ4 2003","Currency=USD","Period=FQ","BEST_FPERIOD_OVERRIDE=FQ","FILING_STATUS=OR","SCALING_FORMAT=MLN","Sort=A","Dates=H","DateFormat=P","Fill=—","Direction=H","UseDPDF=Y")</f>
        <v>2162.0329999999999</v>
      </c>
      <c r="W55" s="16">
        <f>_xll.BDH("AMZN US Equity","TOT_LIAB_AND_EQY","FQ1 2004","FQ1 2004","Currency=USD","Period=FQ","BEST_FPERIOD_OVERRIDE=FQ","FILING_STATUS=OR","SCALING_FORMAT=MLN","Sort=A","Dates=H","DateFormat=P","Fill=—","Direction=H","UseDPDF=Y")</f>
        <v>1738.5609999999999</v>
      </c>
      <c r="X55" s="16">
        <f>_xll.BDH("AMZN US Equity","TOT_LIAB_AND_EQY","FQ2 2004","FQ2 2004","Currency=USD","Period=FQ","BEST_FPERIOD_OVERRIDE=FQ","FILING_STATUS=OR","SCALING_FORMAT=MLN","Sort=A","Dates=H","DateFormat=P","Fill=—","Direction=H","UseDPDF=Y")</f>
        <v>1888.11</v>
      </c>
      <c r="Y55" s="16">
        <f>_xll.BDH("AMZN US Equity","TOT_LIAB_AND_EQY","FQ3 2004","FQ3 2004","Currency=USD","Period=FQ","BEST_FPERIOD_OVERRIDE=FQ","FILING_STATUS=OR","SCALING_FORMAT=MLN","Sort=A","Dates=H","DateFormat=P","Fill=—","Direction=H","UseDPDF=Y")</f>
        <v>2108.6682000000001</v>
      </c>
      <c r="Z55" s="16">
        <f>_xll.BDH("AMZN US Equity","TOT_LIAB_AND_EQY","FQ4 2004","FQ4 2004","Currency=USD","Period=FQ","BEST_FPERIOD_OVERRIDE=FQ","FILING_STATUS=OR","SCALING_FORMAT=MLN","Sort=A","Dates=H","DateFormat=P","Fill=—","Direction=H","UseDPDF=Y")</f>
        <v>3248.5081</v>
      </c>
      <c r="AA55" s="16">
        <f>_xll.BDH("AMZN US Equity","TOT_LIAB_AND_EQY","FQ1 2005","FQ1 2005","Currency=USD","Period=FQ","BEST_FPERIOD_OVERRIDE=FQ","FILING_STATUS=OR","SCALING_FORMAT=MLN","Sort=A","Dates=H","DateFormat=P","Fill=—","Direction=H","UseDPDF=Y")</f>
        <v>2472</v>
      </c>
      <c r="AB55" s="16">
        <f>_xll.BDH("AMZN US Equity","TOT_LIAB_AND_EQY","FQ2 2005","FQ2 2005","Currency=USD","Period=FQ","BEST_FPERIOD_OVERRIDE=FQ","FILING_STATUS=OR","SCALING_FORMAT=MLN","Sort=A","Dates=H","DateFormat=P","Fill=—","Direction=H","UseDPDF=Y")</f>
        <v>2601</v>
      </c>
      <c r="AC55" s="16">
        <f>_xll.BDH("AMZN US Equity","TOT_LIAB_AND_EQY","FQ3 2005","FQ3 2005","Currency=USD","Period=FQ","BEST_FPERIOD_OVERRIDE=FQ","FILING_STATUS=OR","SCALING_FORMAT=MLN","Sort=A","Dates=H","DateFormat=P","Fill=—","Direction=H","UseDPDF=Y")</f>
        <v>2832</v>
      </c>
      <c r="AD55" s="16">
        <f>_xll.BDH("AMZN US Equity","TOT_LIAB_AND_EQY","FQ4 2005","FQ4 2005","Currency=USD","Period=FQ","BEST_FPERIOD_OVERRIDE=FQ","FILING_STATUS=OR","SCALING_FORMAT=MLN","Sort=A","Dates=H","DateFormat=P","Fill=—","Direction=H","UseDPDF=Y")</f>
        <v>3696</v>
      </c>
      <c r="AE55" s="16">
        <f>_xll.BDH("AMZN US Equity","TOT_LIAB_AND_EQY","FQ1 2006","FQ1 2006","Currency=USD","Period=FQ","BEST_FPERIOD_OVERRIDE=FQ","FILING_STATUS=OR","SCALING_FORMAT=MLN","Sort=A","Dates=H","DateFormat=P","Fill=—","Direction=H","UseDPDF=Y")</f>
        <v>2990</v>
      </c>
      <c r="AF55" s="16">
        <f>_xll.BDH("AMZN US Equity","TOT_LIAB_AND_EQY","FQ2 2006","FQ2 2006","Currency=USD","Period=FQ","BEST_FPERIOD_OVERRIDE=FQ","FILING_STATUS=OR","SCALING_FORMAT=MLN","Sort=A","Dates=H","DateFormat=P","Fill=—","Direction=H","UseDPDF=Y")</f>
        <v>3165</v>
      </c>
      <c r="AG55" s="16">
        <f>_xll.BDH("AMZN US Equity","TOT_LIAB_AND_EQY","FQ3 2006","FQ3 2006","Currency=USD","Period=FQ","BEST_FPERIOD_OVERRIDE=FQ","FILING_STATUS=OR","SCALING_FORMAT=MLN","Sort=A","Dates=H","DateFormat=P","Fill=—","Direction=H","UseDPDF=Y")</f>
        <v>3268</v>
      </c>
      <c r="AH55" s="16">
        <f>_xll.BDH("AMZN US Equity","TOT_LIAB_AND_EQY","FQ4 2006","FQ4 2006","Currency=USD","Period=FQ","BEST_FPERIOD_OVERRIDE=FQ","FILING_STATUS=OR","SCALING_FORMAT=MLN","Sort=A","Dates=H","DateFormat=P","Fill=—","Direction=H","UseDPDF=Y")</f>
        <v>4363</v>
      </c>
      <c r="AI55" s="16">
        <f>_xll.BDH("AMZN US Equity","TOT_LIAB_AND_EQY","FQ1 2007","FQ1 2007","Currency=USD","Period=FQ","BEST_FPERIOD_OVERRIDE=FQ","FILING_STATUS=OR","SCALING_FORMAT=MLN","Sort=A","Dates=H","DateFormat=P","Fill=—","Direction=H","UseDPDF=Y")</f>
        <v>3661</v>
      </c>
      <c r="AJ55" s="16">
        <f>_xll.BDH("AMZN US Equity","TOT_LIAB_AND_EQY","FQ2 2007","FQ2 2007","Currency=USD","Period=FQ","BEST_FPERIOD_OVERRIDE=FQ","FILING_STATUS=OR","SCALING_FORMAT=MLN","Sort=A","Dates=H","DateFormat=P","Fill=—","Direction=H","UseDPDF=Y")</f>
        <v>3984</v>
      </c>
      <c r="AK55" s="16">
        <f>_xll.BDH("AMZN US Equity","TOT_LIAB_AND_EQY","FQ3 2007","FQ3 2007","Currency=USD","Period=FQ","BEST_FPERIOD_OVERRIDE=FQ","FILING_STATUS=OR","SCALING_FORMAT=MLN","Sort=A","Dates=H","DateFormat=P","Fill=—","Direction=H","UseDPDF=Y")</f>
        <v>4618</v>
      </c>
      <c r="AL55" s="16">
        <f>_xll.BDH("AMZN US Equity","TOT_LIAB_AND_EQY","FQ4 2007","FQ4 2007","Currency=USD","Period=FQ","BEST_FPERIOD_OVERRIDE=FQ","FILING_STATUS=OR","SCALING_FORMAT=MLN","Sort=A","Dates=H","DateFormat=P","Fill=—","Direction=H","UseDPDF=Y")</f>
        <v>6485</v>
      </c>
      <c r="AM55" s="16">
        <f>_xll.BDH("AMZN US Equity","TOT_LIAB_AND_EQY","FQ1 2008","FQ1 2008","Currency=USD","Period=FQ","BEST_FPERIOD_OVERRIDE=FQ","FILING_STATUS=OR","SCALING_FORMAT=MLN","Sort=A","Dates=H","DateFormat=P","Fill=—","Direction=H","UseDPDF=Y")</f>
        <v>5883</v>
      </c>
      <c r="AN55" s="16">
        <f>_xll.BDH("AMZN US Equity","TOT_LIAB_AND_EQY","FQ2 2008","FQ2 2008","Currency=USD","Period=FQ","BEST_FPERIOD_OVERRIDE=FQ","FILING_STATUS=OR","SCALING_FORMAT=MLN","Sort=A","Dates=H","DateFormat=P","Fill=—","Direction=H","UseDPDF=Y")</f>
        <v>6322</v>
      </c>
      <c r="AO55" s="16">
        <f>_xll.BDH("AMZN US Equity","TOT_LIAB_AND_EQY","FQ3 2008","FQ3 2008","Currency=USD","Period=FQ","BEST_FPERIOD_OVERRIDE=FQ","FILING_STATUS=OR","SCALING_FORMAT=MLN","Sort=A","Dates=H","DateFormat=P","Fill=—","Direction=H","UseDPDF=Y")</f>
        <v>6566</v>
      </c>
      <c r="AP55" s="16">
        <f>_xll.BDH("AMZN US Equity","TOT_LIAB_AND_EQY","FQ4 2008","FQ4 2008","Currency=USD","Period=FQ","BEST_FPERIOD_OVERRIDE=FQ","FILING_STATUS=OR","SCALING_FORMAT=MLN","Sort=A","Dates=H","DateFormat=P","Fill=—","Direction=H","UseDPDF=Y")</f>
        <v>8314</v>
      </c>
    </row>
    <row r="56" spans="1:42" x14ac:dyDescent="0.25">
      <c r="A56" s="6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1:42" x14ac:dyDescent="0.25">
      <c r="A57" s="6" t="s">
        <v>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2" x14ac:dyDescent="0.25">
      <c r="A58" s="10" t="s">
        <v>151</v>
      </c>
      <c r="B58" s="10" t="s">
        <v>152</v>
      </c>
      <c r="C58" s="12" t="s">
        <v>153</v>
      </c>
      <c r="D58" s="12" t="s">
        <v>153</v>
      </c>
      <c r="E58" s="12" t="s">
        <v>153</v>
      </c>
      <c r="F58" s="12" t="s">
        <v>153</v>
      </c>
      <c r="G58" s="12" t="s">
        <v>153</v>
      </c>
      <c r="H58" s="12" t="s">
        <v>153</v>
      </c>
      <c r="I58" s="12" t="s">
        <v>153</v>
      </c>
      <c r="J58" s="12" t="s">
        <v>153</v>
      </c>
      <c r="K58" s="12" t="s">
        <v>153</v>
      </c>
      <c r="L58" s="12" t="s">
        <v>153</v>
      </c>
      <c r="M58" s="12" t="s">
        <v>153</v>
      </c>
      <c r="N58" s="12" t="s">
        <v>153</v>
      </c>
      <c r="O58" s="12" t="s">
        <v>153</v>
      </c>
      <c r="P58" s="12" t="s">
        <v>153</v>
      </c>
      <c r="Q58" s="12" t="s">
        <v>153</v>
      </c>
      <c r="R58" s="12" t="s">
        <v>153</v>
      </c>
      <c r="S58" s="12" t="s">
        <v>153</v>
      </c>
      <c r="T58" s="12" t="s">
        <v>153</v>
      </c>
      <c r="U58" s="12" t="s">
        <v>153</v>
      </c>
      <c r="V58" s="12" t="s">
        <v>153</v>
      </c>
      <c r="W58" s="12" t="s">
        <v>153</v>
      </c>
      <c r="X58" s="12" t="s">
        <v>153</v>
      </c>
      <c r="Y58" s="12" t="s">
        <v>153</v>
      </c>
      <c r="Z58" s="12" t="s">
        <v>153</v>
      </c>
      <c r="AA58" s="12" t="s">
        <v>153</v>
      </c>
      <c r="AB58" s="12" t="s">
        <v>153</v>
      </c>
      <c r="AC58" s="12" t="s">
        <v>153</v>
      </c>
      <c r="AD58" s="12" t="s">
        <v>153</v>
      </c>
      <c r="AE58" s="12" t="s">
        <v>153</v>
      </c>
      <c r="AF58" s="12" t="s">
        <v>153</v>
      </c>
      <c r="AG58" s="12" t="s">
        <v>153</v>
      </c>
      <c r="AH58" s="12" t="s">
        <v>153</v>
      </c>
      <c r="AI58" s="12" t="s">
        <v>153</v>
      </c>
      <c r="AJ58" s="12" t="s">
        <v>153</v>
      </c>
      <c r="AK58" s="12" t="s">
        <v>153</v>
      </c>
      <c r="AL58" s="12" t="s">
        <v>153</v>
      </c>
      <c r="AM58" s="12" t="s">
        <v>153</v>
      </c>
      <c r="AN58" s="12" t="s">
        <v>153</v>
      </c>
      <c r="AO58" s="12" t="s">
        <v>153</v>
      </c>
      <c r="AP58" s="12" t="s">
        <v>153</v>
      </c>
    </row>
    <row r="59" spans="1:42" x14ac:dyDescent="0.25">
      <c r="A59" s="10" t="s">
        <v>274</v>
      </c>
      <c r="B59" s="10" t="s">
        <v>275</v>
      </c>
      <c r="C59" s="13">
        <f>_xll.BDH("AMZN US Equity","BS_SH_OUT","FQ4 1998","FQ4 1998","Currency=USD","Period=FQ","BEST_FPERIOD_OVERRIDE=FQ","FILING_STATUS=OR","Sort=A","Dates=H","DateFormat=P","Fill=—","Direction=H","UseDPDF=Y")</f>
        <v>318.53399999999999</v>
      </c>
      <c r="D59" s="13">
        <f>_xll.BDH("AMZN US Equity","BS_SH_OUT","FQ1 1999","FQ1 1999","Currency=USD","Period=FQ","BEST_FPERIOD_OVERRIDE=FQ","FILING_STATUS=OR","Sort=A","Dates=H","DateFormat=P","Fill=—","Direction=H","UseDPDF=Y")</f>
        <v>322.74200000000002</v>
      </c>
      <c r="E59" s="13">
        <f>_xll.BDH("AMZN US Equity","BS_SH_OUT","FQ2 1999","FQ2 1999","Currency=USD","Period=FQ","BEST_FPERIOD_OVERRIDE=FQ","FILING_STATUS=OR","Sort=A","Dates=H","DateFormat=P","Fill=—","Direction=H","UseDPDF=Y")</f>
        <v>336.30599999999998</v>
      </c>
      <c r="F59" s="13">
        <f>_xll.BDH("AMZN US Equity","BS_SH_OUT","FQ3 1999","FQ3 1999","Currency=USD","Period=FQ","BEST_FPERIOD_OVERRIDE=FQ","FILING_STATUS=OR","Sort=A","Dates=H","DateFormat=P","Fill=—","Direction=H","UseDPDF=Y")</f>
        <v>340.78699999999998</v>
      </c>
      <c r="G59" s="13">
        <f>_xll.BDH("AMZN US Equity","BS_SH_OUT","FQ4 1999","FQ4 1999","Currency=USD","Period=FQ","BEST_FPERIOD_OVERRIDE=FQ","FILING_STATUS=OR","Sort=A","Dates=H","DateFormat=P","Fill=—","Direction=H","UseDPDF=Y")</f>
        <v>345.15499999999997</v>
      </c>
      <c r="H59" s="13">
        <f>_xll.BDH("AMZN US Equity","BS_SH_OUT","FQ1 2000","FQ1 2000","Currency=USD","Period=FQ","BEST_FPERIOD_OVERRIDE=FQ","FILING_STATUS=OR","Sort=A","Dates=H","DateFormat=P","Fill=—","Direction=H","UseDPDF=Y")</f>
        <v>349.959</v>
      </c>
      <c r="I59" s="13">
        <f>_xll.BDH("AMZN US Equity","BS_SH_OUT","FQ3 2000","FQ3 2000","Currency=USD","Period=FQ","BEST_FPERIOD_OVERRIDE=FQ","FILING_STATUS=OR","Sort=A","Dates=H","DateFormat=P","Fill=—","Direction=H","UseDPDF=Y")</f>
        <v>356.10199999999998</v>
      </c>
      <c r="J59" s="13">
        <f>_xll.BDH("AMZN US Equity","BS_SH_OUT","FQ4 2000","FQ4 2000","Currency=USD","Period=FQ","BEST_FPERIOD_OVERRIDE=FQ","FILING_STATUS=OR","Sort=A","Dates=H","DateFormat=P","Fill=—","Direction=H","UseDPDF=Y")</f>
        <v>357.14</v>
      </c>
      <c r="K59" s="13">
        <f>_xll.BDH("AMZN US Equity","BS_SH_OUT","FQ1 2001","FQ1 2001","Currency=USD","Period=FQ","BEST_FPERIOD_OVERRIDE=FQ","FILING_STATUS=OR","Sort=A","Dates=H","DateFormat=P","Fill=—","Direction=H","UseDPDF=Y")</f>
        <v>358.84699999999998</v>
      </c>
      <c r="L59" s="13">
        <f>_xll.BDH("AMZN US Equity","BS_SH_OUT","FQ2 2001","FQ2 2001","Currency=USD","Period=FQ","BEST_FPERIOD_OVERRIDE=FQ","FILING_STATUS=OR","Sort=A","Dates=H","DateFormat=P","Fill=—","Direction=H","UseDPDF=Y")</f>
        <v>362.19099999999997</v>
      </c>
      <c r="M59" s="13">
        <f>_xll.BDH("AMZN US Equity","BS_SH_OUT","FQ3 2001","FQ3 2001","Currency=USD","Period=FQ","BEST_FPERIOD_OVERRIDE=FQ","FILING_STATUS=OR","Sort=A","Dates=H","DateFormat=P","Fill=—","Direction=H","UseDPDF=Y")</f>
        <v>371.76600000000002</v>
      </c>
      <c r="N59" s="13">
        <f>_xll.BDH("AMZN US Equity","BS_SH_OUT","FQ4 2001","FQ4 2001","Currency=USD","Period=FQ","BEST_FPERIOD_OVERRIDE=FQ","FILING_STATUS=OR","Sort=A","Dates=H","DateFormat=P","Fill=—","Direction=H","UseDPDF=Y")</f>
        <v>373.21800000000002</v>
      </c>
      <c r="O59" s="13">
        <f>_xll.BDH("AMZN US Equity","BS_SH_OUT","FQ1 2002","FQ1 2002","Currency=USD","Period=FQ","BEST_FPERIOD_OVERRIDE=FQ","FILING_STATUS=OR","Sort=A","Dates=H","DateFormat=P","Fill=—","Direction=H","UseDPDF=Y")</f>
        <v>375.10899999999998</v>
      </c>
      <c r="P59" s="13">
        <f>_xll.BDH("AMZN US Equity","BS_SH_OUT","FQ2 2002","FQ2 2002","Currency=USD","Period=FQ","BEST_FPERIOD_OVERRIDE=FQ","FILING_STATUS=OR","Sort=A","Dates=H","DateFormat=P","Fill=—","Direction=H","UseDPDF=Y")</f>
        <v>380.30399999999997</v>
      </c>
      <c r="Q59" s="13">
        <f>_xll.BDH("AMZN US Equity","BS_SH_OUT","FQ3 2002","FQ3 2002","Currency=USD","Period=FQ","BEST_FPERIOD_OVERRIDE=FQ","FILING_STATUS=OR","Sort=A","Dates=H","DateFormat=P","Fill=—","Direction=H","UseDPDF=Y")</f>
        <v>381.21600000000001</v>
      </c>
      <c r="R59" s="13">
        <f>_xll.BDH("AMZN US Equity","BS_SH_OUT","FQ4 2002","FQ4 2002","Currency=USD","Period=FQ","BEST_FPERIOD_OVERRIDE=FQ","FILING_STATUS=OR","Sort=A","Dates=H","DateFormat=P","Fill=—","Direction=H","UseDPDF=Y")</f>
        <v>387.90600000000001</v>
      </c>
      <c r="S59" s="13">
        <f>_xll.BDH("AMZN US Equity","BS_SH_OUT","FQ1 2003","FQ1 2003","Currency=USD","Period=FQ","BEST_FPERIOD_OVERRIDE=FQ","FILING_STATUS=OR","Sort=A","Dates=H","DateFormat=P","Fill=—","Direction=H","UseDPDF=Y")</f>
        <v>391.60899999999998</v>
      </c>
      <c r="T59" s="13">
        <f>_xll.BDH("AMZN US Equity","BS_SH_OUT","FQ2 2003","FQ2 2003","Currency=USD","Period=FQ","BEST_FPERIOD_OVERRIDE=FQ","FILING_STATUS=OR","Sort=A","Dates=H","DateFormat=P","Fill=—","Direction=H","UseDPDF=Y")</f>
        <v>396.73</v>
      </c>
      <c r="U59" s="13">
        <f>_xll.BDH("AMZN US Equity","BS_SH_OUT","FQ3 2003","FQ3 2003","Currency=USD","Period=FQ","BEST_FPERIOD_OVERRIDE=FQ","FILING_STATUS=OR","Sort=A","Dates=H","DateFormat=P","Fill=—","Direction=H","UseDPDF=Y")</f>
        <v>400.42200000000003</v>
      </c>
      <c r="V59" s="13">
        <f>_xll.BDH("AMZN US Equity","BS_SH_OUT","FQ4 2003","FQ4 2003","Currency=USD","Period=FQ","BEST_FPERIOD_OVERRIDE=FQ","FILING_STATUS=OR","Sort=A","Dates=H","DateFormat=P","Fill=—","Direction=H","UseDPDF=Y")</f>
        <v>403.35399999999998</v>
      </c>
      <c r="W59" s="13">
        <f>_xll.BDH("AMZN US Equity","BS_SH_OUT","FQ1 2004","FQ1 2004","Currency=USD","Period=FQ","BEST_FPERIOD_OVERRIDE=FQ","FILING_STATUS=OR","Sort=A","Dates=H","DateFormat=P","Fill=—","Direction=H","UseDPDF=Y")</f>
        <v>404.89400000000001</v>
      </c>
      <c r="X59" s="13">
        <f>_xll.BDH("AMZN US Equity","BS_SH_OUT","FQ2 2004","FQ2 2004","Currency=USD","Period=FQ","BEST_FPERIOD_OVERRIDE=FQ","FILING_STATUS=OR","Sort=A","Dates=H","DateFormat=P","Fill=—","Direction=H","UseDPDF=Y")</f>
        <v>406.71100000000001</v>
      </c>
      <c r="Y59" s="13">
        <f>_xll.BDH("AMZN US Equity","BS_SH_OUT","FQ3 2004","FQ3 2004","Currency=USD","Period=FQ","BEST_FPERIOD_OVERRIDE=FQ","FILING_STATUS=OR","Sort=A","Dates=H","DateFormat=P","Fill=—","Direction=H","UseDPDF=Y")</f>
        <v>407.464</v>
      </c>
      <c r="Z59" s="13">
        <f>_xll.BDH("AMZN US Equity","BS_SH_OUT","FQ4 2004","FQ4 2004","Currency=USD","Period=FQ","BEST_FPERIOD_OVERRIDE=FQ","FILING_STATUS=OR","Sort=A","Dates=H","DateFormat=P","Fill=—","Direction=H","UseDPDF=Y")</f>
        <v>409.71100000000001</v>
      </c>
      <c r="AA59" s="13">
        <f>_xll.BDH("AMZN US Equity","BS_SH_OUT","FQ1 2005","FQ1 2005","Currency=USD","Period=FQ","BEST_FPERIOD_OVERRIDE=FQ","FILING_STATUS=OR","Sort=A","Dates=H","DateFormat=P","Fill=—","Direction=H","UseDPDF=Y")</f>
        <v>411</v>
      </c>
      <c r="AB59" s="13">
        <f>_xll.BDH("AMZN US Equity","BS_SH_OUT","FQ2 2005","FQ2 2005","Currency=USD","Period=FQ","BEST_FPERIOD_OVERRIDE=FQ","FILING_STATUS=OR","Sort=A","Dates=H","DateFormat=P","Fill=—","Direction=H","UseDPDF=Y")</f>
        <v>412</v>
      </c>
      <c r="AC59" s="13">
        <f>_xll.BDH("AMZN US Equity","BS_SH_OUT","FQ3 2005","FQ3 2005","Currency=USD","Period=FQ","BEST_FPERIOD_OVERRIDE=FQ","FILING_STATUS=OR","Sort=A","Dates=H","DateFormat=P","Fill=—","Direction=H","UseDPDF=Y")</f>
        <v>414</v>
      </c>
      <c r="AD59" s="13">
        <f>_xll.BDH("AMZN US Equity","BS_SH_OUT","FQ4 2005","FQ4 2005","Currency=USD","Period=FQ","BEST_FPERIOD_OVERRIDE=FQ","FILING_STATUS=OR","Sort=A","Dates=H","DateFormat=P","Fill=—","Direction=H","UseDPDF=Y")</f>
        <v>416</v>
      </c>
      <c r="AE59" s="13">
        <f>_xll.BDH("AMZN US Equity","BS_SH_OUT","FQ1 2006","FQ1 2006","Currency=USD","Period=FQ","BEST_FPERIOD_OVERRIDE=FQ","FILING_STATUS=OR","Sort=A","Dates=H","DateFormat=P","Fill=—","Direction=H","UseDPDF=Y")</f>
        <v>417</v>
      </c>
      <c r="AF59" s="13">
        <f>_xll.BDH("AMZN US Equity","BS_SH_OUT","FQ2 2006","FQ2 2006","Currency=USD","Period=FQ","BEST_FPERIOD_OVERRIDE=FQ","FILING_STATUS=OR","Sort=A","Dates=H","DateFormat=P","Fill=—","Direction=H","UseDPDF=Y")</f>
        <v>419</v>
      </c>
      <c r="AG59" s="13">
        <f>_xll.BDH("AMZN US Equity","BS_SH_OUT","FQ3 2006","FQ3 2006","Currency=USD","Period=FQ","BEST_FPERIOD_OVERRIDE=FQ","FILING_STATUS=OR","Sort=A","Dates=H","DateFormat=P","Fill=—","Direction=H","UseDPDF=Y")</f>
        <v>411</v>
      </c>
      <c r="AH59" s="13">
        <f>_xll.BDH("AMZN US Equity","BS_SH_OUT","FQ4 2006","FQ4 2006","Currency=USD","Period=FQ","BEST_FPERIOD_OVERRIDE=FQ","FILING_STATUS=OR","Sort=A","Dates=H","DateFormat=P","Fill=—","Direction=H","UseDPDF=Y")</f>
        <v>414</v>
      </c>
      <c r="AI59" s="13">
        <f>_xll.BDH("AMZN US Equity","BS_SH_OUT","FQ1 2007","FQ1 2007","Currency=USD","Period=FQ","BEST_FPERIOD_OVERRIDE=FQ","FILING_STATUS=OR","Sort=A","Dates=H","DateFormat=P","Fill=—","Direction=H","UseDPDF=Y")</f>
        <v>409</v>
      </c>
      <c r="AJ59" s="13">
        <f>_xll.BDH("AMZN US Equity","BS_SH_OUT","FQ2 2007","FQ2 2007","Currency=USD","Period=FQ","BEST_FPERIOD_OVERRIDE=FQ","FILING_STATUS=OR","Sort=A","Dates=H","DateFormat=P","Fill=—","Direction=H","UseDPDF=Y")</f>
        <v>413</v>
      </c>
      <c r="AK59" s="13">
        <f>_xll.BDH("AMZN US Equity","BS_SH_OUT","FQ3 2007","FQ3 2007","Currency=USD","Period=FQ","BEST_FPERIOD_OVERRIDE=FQ","FILING_STATUS=OR","Sort=A","Dates=H","DateFormat=P","Fill=—","Direction=H","UseDPDF=Y")</f>
        <v>415</v>
      </c>
      <c r="AL59" s="13">
        <f>_xll.BDH("AMZN US Equity","BS_SH_OUT","FQ4 2007","FQ4 2007","Currency=USD","Period=FQ","BEST_FPERIOD_OVERRIDE=FQ","FILING_STATUS=OR","Sort=A","Dates=H","DateFormat=P","Fill=—","Direction=H","UseDPDF=Y")</f>
        <v>431</v>
      </c>
      <c r="AM59" s="13">
        <f>_xll.BDH("AMZN US Equity","BS_SH_OUT","FQ1 2008","FQ1 2008","Currency=USD","Period=FQ","BEST_FPERIOD_OVERRIDE=FQ","FILING_STATUS=OR","Sort=A","Dates=H","DateFormat=P","Fill=—","Direction=H","UseDPDF=Y")</f>
        <v>417</v>
      </c>
      <c r="AN59" s="13">
        <f>_xll.BDH("AMZN US Equity","BS_SH_OUT","FQ2 2008","FQ2 2008","Currency=USD","Period=FQ","BEST_FPERIOD_OVERRIDE=FQ","FILING_STATUS=OR","Sort=A","Dates=H","DateFormat=P","Fill=—","Direction=H","UseDPDF=Y")</f>
        <v>426</v>
      </c>
      <c r="AO59" s="13">
        <f>_xll.BDH("AMZN US Equity","BS_SH_OUT","FQ3 2008","FQ3 2008","Currency=USD","Period=FQ","BEST_FPERIOD_OVERRIDE=FQ","FILING_STATUS=OR","Sort=A","Dates=H","DateFormat=P","Fill=—","Direction=H","UseDPDF=Y")</f>
        <v>429</v>
      </c>
      <c r="AP59" s="13">
        <f>_xll.BDH("AMZN US Equity","BS_SH_OUT","FQ4 2008","FQ4 2008","Currency=USD","Period=FQ","BEST_FPERIOD_OVERRIDE=FQ","FILING_STATUS=OR","Sort=A","Dates=H","DateFormat=P","Fill=—","Direction=H","UseDPDF=Y")</f>
        <v>428</v>
      </c>
    </row>
    <row r="60" spans="1:42" x14ac:dyDescent="0.25">
      <c r="A60" s="10" t="s">
        <v>276</v>
      </c>
      <c r="B60" s="10" t="s">
        <v>277</v>
      </c>
      <c r="C60" s="13">
        <f>_xll.BDH("AMZN US Equity","BS_NUM_OF_TSY_SH","FQ4 1998","FQ4 1998","Currency=USD","Period=FQ","BEST_FPERIOD_OVERRIDE=FQ","FILING_STATUS=OR","Sort=A","Dates=H","DateFormat=P","Fill=—","Direction=H","UseDPDF=Y")</f>
        <v>0</v>
      </c>
      <c r="D60" s="13">
        <f>_xll.BDH("AMZN US Equity","BS_NUM_OF_TSY_SH","FQ1 1999","FQ1 1999","Currency=USD","Period=FQ","BEST_FPERIOD_OVERRIDE=FQ","FILING_STATUS=OR","Sort=A","Dates=H","DateFormat=P","Fill=—","Direction=H","UseDPDF=Y")</f>
        <v>0</v>
      </c>
      <c r="E60" s="13">
        <f>_xll.BDH("AMZN US Equity","BS_NUM_OF_TSY_SH","FQ2 1999","FQ2 1999","Currency=USD","Period=FQ","BEST_FPERIOD_OVERRIDE=FQ","FILING_STATUS=OR","Sort=A","Dates=H","DateFormat=P","Fill=—","Direction=H","UseDPDF=Y")</f>
        <v>0</v>
      </c>
      <c r="F60" s="13">
        <f>_xll.BDH("AMZN US Equity","BS_NUM_OF_TSY_SH","FQ3 1999","FQ3 1999","Currency=USD","Period=FQ","BEST_FPERIOD_OVERRIDE=FQ","FILING_STATUS=OR","Sort=A","Dates=H","DateFormat=P","Fill=—","Direction=H","UseDPDF=Y")</f>
        <v>0</v>
      </c>
      <c r="G60" s="13">
        <f>_xll.BDH("AMZN US Equity","BS_NUM_OF_TSY_SH","FQ4 1999","FQ4 1999","Currency=USD","Period=FQ","BEST_FPERIOD_OVERRIDE=FQ","FILING_STATUS=OR","Sort=A","Dates=H","DateFormat=P","Fill=—","Direction=H","UseDPDF=Y")</f>
        <v>0</v>
      </c>
      <c r="H60" s="13">
        <f>_xll.BDH("AMZN US Equity","BS_NUM_OF_TSY_SH","FQ1 2000","FQ1 2000","Currency=USD","Period=FQ","BEST_FPERIOD_OVERRIDE=FQ","FILING_STATUS=OR","Sort=A","Dates=H","DateFormat=P","Fill=—","Direction=H","UseDPDF=Y")</f>
        <v>0</v>
      </c>
      <c r="I60" s="13">
        <f>_xll.BDH("AMZN US Equity","BS_NUM_OF_TSY_SH","FQ3 2000","FQ3 2000","Currency=USD","Period=FQ","BEST_FPERIOD_OVERRIDE=FQ","FILING_STATUS=OR","Sort=A","Dates=H","DateFormat=P","Fill=—","Direction=H","UseDPDF=Y")</f>
        <v>0</v>
      </c>
      <c r="J60" s="13">
        <f>_xll.BDH("AMZN US Equity","BS_NUM_OF_TSY_SH","FQ4 2000","FQ4 2000","Currency=USD","Period=FQ","BEST_FPERIOD_OVERRIDE=FQ","FILING_STATUS=OR","Sort=A","Dates=H","DateFormat=P","Fill=—","Direction=H","UseDPDF=Y")</f>
        <v>0</v>
      </c>
      <c r="K60" s="13">
        <f>_xll.BDH("AMZN US Equity","BS_NUM_OF_TSY_SH","FQ1 2001","FQ1 2001","Currency=USD","Period=FQ","BEST_FPERIOD_OVERRIDE=FQ","FILING_STATUS=OR","Sort=A","Dates=H","DateFormat=P","Fill=—","Direction=H","UseDPDF=Y")</f>
        <v>0</v>
      </c>
      <c r="L60" s="13">
        <f>_xll.BDH("AMZN US Equity","BS_NUM_OF_TSY_SH","FQ2 2001","FQ2 2001","Currency=USD","Period=FQ","BEST_FPERIOD_OVERRIDE=FQ","FILING_STATUS=OR","Sort=A","Dates=H","DateFormat=P","Fill=—","Direction=H","UseDPDF=Y")</f>
        <v>0</v>
      </c>
      <c r="M60" s="13">
        <f>_xll.BDH("AMZN US Equity","BS_NUM_OF_TSY_SH","FQ3 2001","FQ3 2001","Currency=USD","Period=FQ","BEST_FPERIOD_OVERRIDE=FQ","FILING_STATUS=OR","Sort=A","Dates=H","DateFormat=P","Fill=—","Direction=H","UseDPDF=Y")</f>
        <v>0</v>
      </c>
      <c r="N60" s="13">
        <f>_xll.BDH("AMZN US Equity","BS_NUM_OF_TSY_SH","FQ4 2001","FQ4 2001","Currency=USD","Period=FQ","BEST_FPERIOD_OVERRIDE=FQ","FILING_STATUS=OR","Sort=A","Dates=H","DateFormat=P","Fill=—","Direction=H","UseDPDF=Y")</f>
        <v>0</v>
      </c>
      <c r="O60" s="13">
        <f>_xll.BDH("AMZN US Equity","BS_NUM_OF_TSY_SH","FQ1 2002","FQ1 2002","Currency=USD","Period=FQ","BEST_FPERIOD_OVERRIDE=FQ","FILING_STATUS=OR","Sort=A","Dates=H","DateFormat=P","Fill=—","Direction=H","UseDPDF=Y")</f>
        <v>0</v>
      </c>
      <c r="P60" s="13">
        <f>_xll.BDH("AMZN US Equity","BS_NUM_OF_TSY_SH","FQ2 2002","FQ2 2002","Currency=USD","Period=FQ","BEST_FPERIOD_OVERRIDE=FQ","FILING_STATUS=OR","Sort=A","Dates=H","DateFormat=P","Fill=—","Direction=H","UseDPDF=Y")</f>
        <v>0</v>
      </c>
      <c r="Q60" s="13">
        <f>_xll.BDH("AMZN US Equity","BS_NUM_OF_TSY_SH","FQ3 2002","FQ3 2002","Currency=USD","Period=FQ","BEST_FPERIOD_OVERRIDE=FQ","FILING_STATUS=OR","Sort=A","Dates=H","DateFormat=P","Fill=—","Direction=H","UseDPDF=Y")</f>
        <v>0</v>
      </c>
      <c r="R60" s="13">
        <f>_xll.BDH("AMZN US Equity","BS_NUM_OF_TSY_SH","FQ4 2002","FQ4 2002","Currency=USD","Period=FQ","BEST_FPERIOD_OVERRIDE=FQ","FILING_STATUS=OR","Sort=A","Dates=H","DateFormat=P","Fill=—","Direction=H","UseDPDF=Y")</f>
        <v>0</v>
      </c>
      <c r="S60" s="13">
        <f>_xll.BDH("AMZN US Equity","BS_NUM_OF_TSY_SH","FQ1 2003","FQ1 2003","Currency=USD","Period=FQ","BEST_FPERIOD_OVERRIDE=FQ","FILING_STATUS=OR","Sort=A","Dates=H","DateFormat=P","Fill=—","Direction=H","UseDPDF=Y")</f>
        <v>0</v>
      </c>
      <c r="T60" s="13">
        <f>_xll.BDH("AMZN US Equity","BS_NUM_OF_TSY_SH","FQ2 2003","FQ2 2003","Currency=USD","Period=FQ","BEST_FPERIOD_OVERRIDE=FQ","FILING_STATUS=OR","Sort=A","Dates=H","DateFormat=P","Fill=—","Direction=H","UseDPDF=Y")</f>
        <v>0</v>
      </c>
      <c r="U60" s="13">
        <f>_xll.BDH("AMZN US Equity","BS_NUM_OF_TSY_SH","FQ3 2003","FQ3 2003","Currency=USD","Period=FQ","BEST_FPERIOD_OVERRIDE=FQ","FILING_STATUS=OR","Sort=A","Dates=H","DateFormat=P","Fill=—","Direction=H","UseDPDF=Y")</f>
        <v>0</v>
      </c>
      <c r="V60" s="13">
        <f>_xll.BDH("AMZN US Equity","BS_NUM_OF_TSY_SH","FQ4 2003","FQ4 2003","Currency=USD","Period=FQ","BEST_FPERIOD_OVERRIDE=FQ","FILING_STATUS=OR","Sort=A","Dates=H","DateFormat=P","Fill=—","Direction=H","UseDPDF=Y")</f>
        <v>0</v>
      </c>
      <c r="W60" s="13">
        <f>_xll.BDH("AMZN US Equity","BS_NUM_OF_TSY_SH","FQ1 2004","FQ1 2004","Currency=USD","Period=FQ","BEST_FPERIOD_OVERRIDE=FQ","FILING_STATUS=OR","Sort=A","Dates=H","DateFormat=P","Fill=—","Direction=H","UseDPDF=Y")</f>
        <v>0</v>
      </c>
      <c r="X60" s="13">
        <f>_xll.BDH("AMZN US Equity","BS_NUM_OF_TSY_SH","FQ2 2004","FQ2 2004","Currency=USD","Period=FQ","BEST_FPERIOD_OVERRIDE=FQ","FILING_STATUS=OR","Sort=A","Dates=H","DateFormat=P","Fill=—","Direction=H","UseDPDF=Y")</f>
        <v>0</v>
      </c>
      <c r="Y60" s="13">
        <f>_xll.BDH("AMZN US Equity","BS_NUM_OF_TSY_SH","FQ3 2004","FQ3 2004","Currency=USD","Period=FQ","BEST_FPERIOD_OVERRIDE=FQ","FILING_STATUS=OR","Sort=A","Dates=H","DateFormat=P","Fill=—","Direction=H","UseDPDF=Y")</f>
        <v>0</v>
      </c>
      <c r="Z60" s="13">
        <f>_xll.BDH("AMZN US Equity","BS_NUM_OF_TSY_SH","FQ4 2004","FQ4 2004","Currency=USD","Period=FQ","BEST_FPERIOD_OVERRIDE=FQ","FILING_STATUS=OR","Sort=A","Dates=H","DateFormat=P","Fill=—","Direction=H","UseDPDF=Y")</f>
        <v>0</v>
      </c>
      <c r="AA60" s="13">
        <f>_xll.BDH("AMZN US Equity","BS_NUM_OF_TSY_SH","FQ1 2005","FQ1 2005","Currency=USD","Period=FQ","BEST_FPERIOD_OVERRIDE=FQ","FILING_STATUS=OR","Sort=A","Dates=H","DateFormat=P","Fill=—","Direction=H","UseDPDF=Y")</f>
        <v>0</v>
      </c>
      <c r="AB60" s="13">
        <f>_xll.BDH("AMZN US Equity","BS_NUM_OF_TSY_SH","FQ2 2005","FQ2 2005","Currency=USD","Period=FQ","BEST_FPERIOD_OVERRIDE=FQ","FILING_STATUS=OR","Sort=A","Dates=H","DateFormat=P","Fill=—","Direction=H","UseDPDF=Y")</f>
        <v>0</v>
      </c>
      <c r="AC60" s="13">
        <f>_xll.BDH("AMZN US Equity","BS_NUM_OF_TSY_SH","FQ3 2005","FQ3 2005","Currency=USD","Period=FQ","BEST_FPERIOD_OVERRIDE=FQ","FILING_STATUS=OR","Sort=A","Dates=H","DateFormat=P","Fill=—","Direction=H","UseDPDF=Y")</f>
        <v>0</v>
      </c>
      <c r="AD60" s="13">
        <f>_xll.BDH("AMZN US Equity","BS_NUM_OF_TSY_SH","FQ4 2005","FQ4 2005","Currency=USD","Period=FQ","BEST_FPERIOD_OVERRIDE=FQ","FILING_STATUS=OR","Sort=A","Dates=H","DateFormat=P","Fill=—","Direction=H","UseDPDF=Y")</f>
        <v>0</v>
      </c>
      <c r="AE60" s="13">
        <f>_xll.BDH("AMZN US Equity","BS_NUM_OF_TSY_SH","FQ1 2006","FQ1 2006","Currency=USD","Period=FQ","BEST_FPERIOD_OVERRIDE=FQ","FILING_STATUS=OR","Sort=A","Dates=H","DateFormat=P","Fill=—","Direction=H","UseDPDF=Y")</f>
        <v>0</v>
      </c>
      <c r="AF60" s="13">
        <f>_xll.BDH("AMZN US Equity","BS_NUM_OF_TSY_SH","FQ2 2006","FQ2 2006","Currency=USD","Period=FQ","BEST_FPERIOD_OVERRIDE=FQ","FILING_STATUS=OR","Sort=A","Dates=H","DateFormat=P","Fill=—","Direction=H","UseDPDF=Y")</f>
        <v>0</v>
      </c>
      <c r="AG60" s="13" t="str">
        <f>_xll.BDH("AMZN US Equity","BS_NUM_OF_TSY_SH","FQ3 2006","FQ3 2006","Currency=USD","Period=FQ","BEST_FPERIOD_OVERRIDE=FQ","FILING_STATUS=OR","Sort=A","Dates=H","DateFormat=P","Fill=—","Direction=H","UseDPDF=Y")</f>
        <v>—</v>
      </c>
      <c r="AH60" s="13">
        <f>_xll.BDH("AMZN US Equity","BS_NUM_OF_TSY_SH","FQ4 2006","FQ4 2006","Currency=USD","Period=FQ","BEST_FPERIOD_OVERRIDE=FQ","FILING_STATUS=OR","Sort=A","Dates=H","DateFormat=P","Fill=—","Direction=H","UseDPDF=Y")</f>
        <v>0</v>
      </c>
      <c r="AI60" s="13">
        <f>_xll.BDH("AMZN US Equity","BS_NUM_OF_TSY_SH","FQ1 2007","FQ1 2007","Currency=USD","Period=FQ","BEST_FPERIOD_OVERRIDE=FQ","FILING_STATUS=OR","Sort=A","Dates=H","DateFormat=P","Fill=—","Direction=H","UseDPDF=Y")</f>
        <v>15</v>
      </c>
      <c r="AJ60" s="13">
        <f>_xll.BDH("AMZN US Equity","BS_NUM_OF_TSY_SH","FQ2 2007","FQ2 2007","Currency=USD","Period=FQ","BEST_FPERIOD_OVERRIDE=FQ","FILING_STATUS=OR","Sort=A","Dates=H","DateFormat=P","Fill=—","Direction=H","UseDPDF=Y")</f>
        <v>14</v>
      </c>
      <c r="AK60" s="13">
        <f>_xll.BDH("AMZN US Equity","BS_NUM_OF_TSY_SH","FQ3 2007","FQ3 2007","Currency=USD","Period=FQ","BEST_FPERIOD_OVERRIDE=FQ","FILING_STATUS=OR","Sort=A","Dates=H","DateFormat=P","Fill=—","Direction=H","UseDPDF=Y")</f>
        <v>14</v>
      </c>
      <c r="AL60" s="13" t="str">
        <f>_xll.BDH("AMZN US Equity","BS_NUM_OF_TSY_SH","FQ4 2007","FQ4 2007","Currency=USD","Period=FQ","BEST_FPERIOD_OVERRIDE=FQ","FILING_STATUS=OR","Sort=A","Dates=H","DateFormat=P","Fill=—","Direction=H","UseDPDF=Y")</f>
        <v>—</v>
      </c>
      <c r="AM60" s="13">
        <f>_xll.BDH("AMZN US Equity","BS_NUM_OF_TSY_SH","FQ1 2008","FQ1 2008","Currency=USD","Period=FQ","BEST_FPERIOD_OVERRIDE=FQ","FILING_STATUS=OR","Sort=A","Dates=H","DateFormat=P","Fill=—","Direction=H","UseDPDF=Y")</f>
        <v>15</v>
      </c>
      <c r="AN60" s="13">
        <f>_xll.BDH("AMZN US Equity","BS_NUM_OF_TSY_SH","FQ2 2008","FQ2 2008","Currency=USD","Period=FQ","BEST_FPERIOD_OVERRIDE=FQ","FILING_STATUS=OR","Sort=A","Dates=H","DateFormat=P","Fill=—","Direction=H","UseDPDF=Y")</f>
        <v>14</v>
      </c>
      <c r="AO60" s="13">
        <f>_xll.BDH("AMZN US Equity","BS_NUM_OF_TSY_SH","FQ3 2008","FQ3 2008","Currency=USD","Period=FQ","BEST_FPERIOD_OVERRIDE=FQ","FILING_STATUS=OR","Sort=A","Dates=H","DateFormat=P","Fill=—","Direction=H","UseDPDF=Y")</f>
        <v>14</v>
      </c>
      <c r="AP60" s="13">
        <f>_xll.BDH("AMZN US Equity","BS_NUM_OF_TSY_SH","FQ4 2008","FQ4 2008","Currency=USD","Period=FQ","BEST_FPERIOD_OVERRIDE=FQ","FILING_STATUS=OR","Sort=A","Dates=H","DateFormat=P","Fill=—","Direction=H","UseDPDF=Y")</f>
        <v>17</v>
      </c>
    </row>
    <row r="61" spans="1:42" x14ac:dyDescent="0.25">
      <c r="A61" s="10" t="s">
        <v>278</v>
      </c>
      <c r="B61" s="10" t="s">
        <v>279</v>
      </c>
      <c r="C61" s="13" t="str">
        <f>_xll.BDH("AMZN US Equity","BS_FUTURE_MIN_OPER_LEASE_OBLIG","FQ4 1998","FQ4 1998","Currency=USD","Period=FQ","BEST_FPERIOD_OVERRIDE=FQ","FILING_STATUS=OR","SCALING_FORMAT=MLN","Sort=A","Dates=H","DateFormat=P","Fill=—","Direction=H","UseDPDF=Y")</f>
        <v>—</v>
      </c>
      <c r="D61" s="13" t="str">
        <f>_xll.BDH("AMZN US Equity","BS_FUTURE_MIN_OPER_LEASE_OBLIG","FQ1 1999","FQ1 1999","Currency=USD","Period=FQ","BEST_FPERIOD_OVERRIDE=FQ","FILING_STATUS=OR","SCALING_FORMAT=MLN","Sort=A","Dates=H","DateFormat=P","Fill=—","Direction=H","UseDPDF=Y")</f>
        <v>—</v>
      </c>
      <c r="E61" s="13" t="str">
        <f>_xll.BDH("AMZN US Equity","BS_FUTURE_MIN_OPER_LEASE_OBLIG","FQ2 1999","FQ2 1999","Currency=USD","Period=FQ","BEST_FPERIOD_OVERRIDE=FQ","FILING_STATUS=OR","SCALING_FORMAT=MLN","Sort=A","Dates=H","DateFormat=P","Fill=—","Direction=H","UseDPDF=Y")</f>
        <v>—</v>
      </c>
      <c r="F61" s="13" t="str">
        <f>_xll.BDH("AMZN US Equity","BS_FUTURE_MIN_OPER_LEASE_OBLIG","FQ3 1999","FQ3 1999","Currency=USD","Period=FQ","BEST_FPERIOD_OVERRIDE=FQ","FILING_STATUS=OR","SCALING_FORMAT=MLN","Sort=A","Dates=H","DateFormat=P","Fill=—","Direction=H","UseDPDF=Y")</f>
        <v>—</v>
      </c>
      <c r="G61" s="13" t="str">
        <f>_xll.BDH("AMZN US Equity","BS_FUTURE_MIN_OPER_LEASE_OBLIG","FQ4 1999","FQ4 1999","Currency=USD","Period=FQ","BEST_FPERIOD_OVERRIDE=FQ","FILING_STATUS=OR","SCALING_FORMAT=MLN","Sort=A","Dates=H","DateFormat=P","Fill=—","Direction=H","UseDPDF=Y")</f>
        <v>—</v>
      </c>
      <c r="H61" s="13" t="str">
        <f>_xll.BDH("AMZN US Equity","BS_FUTURE_MIN_OPER_LEASE_OBLIG","FQ1 2000","FQ1 2000","Currency=USD","Period=FQ","BEST_FPERIOD_OVERRIDE=FQ","FILING_STATUS=OR","SCALING_FORMAT=MLN","Sort=A","Dates=H","DateFormat=P","Fill=—","Direction=H","UseDPDF=Y")</f>
        <v>—</v>
      </c>
      <c r="I61" s="13" t="str">
        <f>_xll.BDH("AMZN US Equity","BS_FUTURE_MIN_OPER_LEASE_OBLIG","FQ3 2000","FQ3 2000","Currency=USD","Period=FQ","BEST_FPERIOD_OVERRIDE=FQ","FILING_STATUS=OR","SCALING_FORMAT=MLN","Sort=A","Dates=H","DateFormat=P","Fill=—","Direction=H","UseDPDF=Y")</f>
        <v>—</v>
      </c>
      <c r="J61" s="13" t="str">
        <f>_xll.BDH("AMZN US Equity","BS_FUTURE_MIN_OPER_LEASE_OBLIG","FQ4 2000","FQ4 2000","Currency=USD","Period=FQ","BEST_FPERIOD_OVERRIDE=FQ","FILING_STATUS=OR","SCALING_FORMAT=MLN","Sort=A","Dates=H","DateFormat=P","Fill=—","Direction=H","UseDPDF=Y")</f>
        <v>—</v>
      </c>
      <c r="K61" s="13" t="str">
        <f>_xll.BDH("AMZN US Equity","BS_FUTURE_MIN_OPER_LEASE_OBLIG","FQ1 2001","FQ1 2001","Currency=USD","Period=FQ","BEST_FPERIOD_OVERRIDE=FQ","FILING_STATUS=OR","SCALING_FORMAT=MLN","Sort=A","Dates=H","DateFormat=P","Fill=—","Direction=H","UseDPDF=Y")</f>
        <v>—</v>
      </c>
      <c r="L61" s="13" t="str">
        <f>_xll.BDH("AMZN US Equity","BS_FUTURE_MIN_OPER_LEASE_OBLIG","FQ2 2001","FQ2 2001","Currency=USD","Period=FQ","BEST_FPERIOD_OVERRIDE=FQ","FILING_STATUS=OR","SCALING_FORMAT=MLN","Sort=A","Dates=H","DateFormat=P","Fill=—","Direction=H","UseDPDF=Y")</f>
        <v>—</v>
      </c>
      <c r="M61" s="13" t="str">
        <f>_xll.BDH("AMZN US Equity","BS_FUTURE_MIN_OPER_LEASE_OBLIG","FQ3 2001","FQ3 2001","Currency=USD","Period=FQ","BEST_FPERIOD_OVERRIDE=FQ","FILING_STATUS=OR","SCALING_FORMAT=MLN","Sort=A","Dates=H","DateFormat=P","Fill=—","Direction=H","UseDPDF=Y")</f>
        <v>—</v>
      </c>
      <c r="N61" s="13" t="str">
        <f>_xll.BDH("AMZN US Equity","BS_FUTURE_MIN_OPER_LEASE_OBLIG","FQ4 2001","FQ4 2001","Currency=USD","Period=FQ","BEST_FPERIOD_OVERRIDE=FQ","FILING_STATUS=OR","SCALING_FORMAT=MLN","Sort=A","Dates=H","DateFormat=P","Fill=—","Direction=H","UseDPDF=Y")</f>
        <v>—</v>
      </c>
      <c r="O61" s="13" t="str">
        <f>_xll.BDH("AMZN US Equity","BS_FUTURE_MIN_OPER_LEASE_OBLIG","FQ1 2002","FQ1 2002","Currency=USD","Period=FQ","BEST_FPERIOD_OVERRIDE=FQ","FILING_STATUS=OR","SCALING_FORMAT=MLN","Sort=A","Dates=H","DateFormat=P","Fill=—","Direction=H","UseDPDF=Y")</f>
        <v>—</v>
      </c>
      <c r="P61" s="13" t="str">
        <f>_xll.BDH("AMZN US Equity","BS_FUTURE_MIN_OPER_LEASE_OBLIG","FQ2 2002","FQ2 2002","Currency=USD","Period=FQ","BEST_FPERIOD_OVERRIDE=FQ","FILING_STATUS=OR","SCALING_FORMAT=MLN","Sort=A","Dates=H","DateFormat=P","Fill=—","Direction=H","UseDPDF=Y")</f>
        <v>—</v>
      </c>
      <c r="Q61" s="13" t="str">
        <f>_xll.BDH("AMZN US Equity","BS_FUTURE_MIN_OPER_LEASE_OBLIG","FQ3 2002","FQ3 2002","Currency=USD","Period=FQ","BEST_FPERIOD_OVERRIDE=FQ","FILING_STATUS=OR","SCALING_FORMAT=MLN","Sort=A","Dates=H","DateFormat=P","Fill=—","Direction=H","UseDPDF=Y")</f>
        <v>—</v>
      </c>
      <c r="R61" s="13" t="str">
        <f>_xll.BDH("AMZN US Equity","BS_FUTURE_MIN_OPER_LEASE_OBLIG","FQ4 2002","FQ4 2002","Currency=USD","Period=FQ","BEST_FPERIOD_OVERRIDE=FQ","FILING_STATUS=OR","SCALING_FORMAT=MLN","Sort=A","Dates=H","DateFormat=P","Fill=—","Direction=H","UseDPDF=Y")</f>
        <v>—</v>
      </c>
      <c r="S61" s="13" t="str">
        <f>_xll.BDH("AMZN US Equity","BS_FUTURE_MIN_OPER_LEASE_OBLIG","FQ1 2003","FQ1 2003","Currency=USD","Period=FQ","BEST_FPERIOD_OVERRIDE=FQ","FILING_STATUS=OR","SCALING_FORMAT=MLN","Sort=A","Dates=H","DateFormat=P","Fill=—","Direction=H","UseDPDF=Y")</f>
        <v>—</v>
      </c>
      <c r="T61" s="13" t="str">
        <f>_xll.BDH("AMZN US Equity","BS_FUTURE_MIN_OPER_LEASE_OBLIG","FQ2 2003","FQ2 2003","Currency=USD","Period=FQ","BEST_FPERIOD_OVERRIDE=FQ","FILING_STATUS=OR","SCALING_FORMAT=MLN","Sort=A","Dates=H","DateFormat=P","Fill=—","Direction=H","UseDPDF=Y")</f>
        <v>—</v>
      </c>
      <c r="U61" s="13" t="str">
        <f>_xll.BDH("AMZN US Equity","BS_FUTURE_MIN_OPER_LEASE_OBLIG","FQ3 2003","FQ3 2003","Currency=USD","Period=FQ","BEST_FPERIOD_OVERRIDE=FQ","FILING_STATUS=OR","SCALING_FORMAT=MLN","Sort=A","Dates=H","DateFormat=P","Fill=—","Direction=H","UseDPDF=Y")</f>
        <v>—</v>
      </c>
      <c r="V61" s="13" t="str">
        <f>_xll.BDH("AMZN US Equity","BS_FUTURE_MIN_OPER_LEASE_OBLIG","FQ4 2003","FQ4 2003","Currency=USD","Period=FQ","BEST_FPERIOD_OVERRIDE=FQ","FILING_STATUS=OR","SCALING_FORMAT=MLN","Sort=A","Dates=H","DateFormat=P","Fill=—","Direction=H","UseDPDF=Y")</f>
        <v>—</v>
      </c>
      <c r="W61" s="13" t="str">
        <f>_xll.BDH("AMZN US Equity","BS_FUTURE_MIN_OPER_LEASE_OBLIG","FQ1 2004","FQ1 2004","Currency=USD","Period=FQ","BEST_FPERIOD_OVERRIDE=FQ","FILING_STATUS=OR","SCALING_FORMAT=MLN","Sort=A","Dates=H","DateFormat=P","Fill=—","Direction=H","UseDPDF=Y")</f>
        <v>—</v>
      </c>
      <c r="X61" s="13" t="str">
        <f>_xll.BDH("AMZN US Equity","BS_FUTURE_MIN_OPER_LEASE_OBLIG","FQ2 2004","FQ2 2004","Currency=USD","Period=FQ","BEST_FPERIOD_OVERRIDE=FQ","FILING_STATUS=OR","SCALING_FORMAT=MLN","Sort=A","Dates=H","DateFormat=P","Fill=—","Direction=H","UseDPDF=Y")</f>
        <v>—</v>
      </c>
      <c r="Y61" s="13" t="str">
        <f>_xll.BDH("AMZN US Equity","BS_FUTURE_MIN_OPER_LEASE_OBLIG","FQ3 2004","FQ3 2004","Currency=USD","Period=FQ","BEST_FPERIOD_OVERRIDE=FQ","FILING_STATUS=OR","SCALING_FORMAT=MLN","Sort=A","Dates=H","DateFormat=P","Fill=—","Direction=H","UseDPDF=Y")</f>
        <v>—</v>
      </c>
      <c r="Z61" s="13" t="str">
        <f>_xll.BDH("AMZN US Equity","BS_FUTURE_MIN_OPER_LEASE_OBLIG","FQ4 2004","FQ4 2004","Currency=USD","Period=FQ","BEST_FPERIOD_OVERRIDE=FQ","FILING_STATUS=OR","SCALING_FORMAT=MLN","Sort=A","Dates=H","DateFormat=P","Fill=—","Direction=H","UseDPDF=Y")</f>
        <v>—</v>
      </c>
      <c r="AA61" s="13">
        <f>_xll.BDH("AMZN US Equity","BS_FUTURE_MIN_OPER_LEASE_OBLIG","FQ1 2005","FQ1 2005","Currency=USD","Period=FQ","BEST_FPERIOD_OVERRIDE=FQ","FILING_STATUS=OR","SCALING_FORMAT=MLN","Sort=A","Dates=H","DateFormat=P","Fill=—","Direction=H","UseDPDF=Y")</f>
        <v>486.6</v>
      </c>
      <c r="AB61" s="13">
        <f>_xll.BDH("AMZN US Equity","BS_FUTURE_MIN_OPER_LEASE_OBLIG","FQ2 2005","FQ2 2005","Currency=USD","Period=FQ","BEST_FPERIOD_OVERRIDE=FQ","FILING_STATUS=OR","SCALING_FORMAT=MLN","Sort=A","Dates=H","DateFormat=P","Fill=—","Direction=H","UseDPDF=Y")</f>
        <v>487.6</v>
      </c>
      <c r="AC61" s="13">
        <f>_xll.BDH("AMZN US Equity","BS_FUTURE_MIN_OPER_LEASE_OBLIG","FQ3 2005","FQ3 2005","Currency=USD","Period=FQ","BEST_FPERIOD_OVERRIDE=FQ","FILING_STATUS=OR","SCALING_FORMAT=MLN","Sort=A","Dates=H","DateFormat=P","Fill=—","Direction=H","UseDPDF=Y")</f>
        <v>589.20000000000005</v>
      </c>
      <c r="AD61" s="13">
        <f>_xll.BDH("AMZN US Equity","BS_FUTURE_MIN_OPER_LEASE_OBLIG","FQ4 2005","FQ4 2005","Currency=USD","Period=FQ","BEST_FPERIOD_OVERRIDE=FQ","FILING_STATUS=OR","SCALING_FORMAT=MLN","Sort=A","Dates=H","DateFormat=P","Fill=—","Direction=H","UseDPDF=Y")</f>
        <v>595</v>
      </c>
      <c r="AE61" s="13">
        <f>_xll.BDH("AMZN US Equity","BS_FUTURE_MIN_OPER_LEASE_OBLIG","FQ1 2006","FQ1 2006","Currency=USD","Period=FQ","BEST_FPERIOD_OVERRIDE=FQ","FILING_STATUS=OR","SCALING_FORMAT=MLN","Sort=A","Dates=H","DateFormat=P","Fill=—","Direction=H","UseDPDF=Y")</f>
        <v>618</v>
      </c>
      <c r="AF61" s="13">
        <f>_xll.BDH("AMZN US Equity","BS_FUTURE_MIN_OPER_LEASE_OBLIG","FQ2 2006","FQ2 2006","Currency=USD","Period=FQ","BEST_FPERIOD_OVERRIDE=FQ","FILING_STATUS=OR","SCALING_FORMAT=MLN","Sort=A","Dates=H","DateFormat=P","Fill=—","Direction=H","UseDPDF=Y")</f>
        <v>638</v>
      </c>
      <c r="AG61" s="13">
        <f>_xll.BDH("AMZN US Equity","BS_FUTURE_MIN_OPER_LEASE_OBLIG","FQ3 2006","FQ3 2006","Currency=USD","Period=FQ","BEST_FPERIOD_OVERRIDE=FQ","FILING_STATUS=OR","SCALING_FORMAT=MLN","Sort=A","Dates=H","DateFormat=P","Fill=—","Direction=H","UseDPDF=Y")</f>
        <v>642</v>
      </c>
      <c r="AH61" s="13">
        <f>_xll.BDH("AMZN US Equity","BS_FUTURE_MIN_OPER_LEASE_OBLIG","FQ4 2006","FQ4 2006","Currency=USD","Period=FQ","BEST_FPERIOD_OVERRIDE=FQ","FILING_STATUS=OR","SCALING_FORMAT=MLN","Sort=A","Dates=H","DateFormat=P","Fill=—","Direction=H","UseDPDF=Y")</f>
        <v>639</v>
      </c>
      <c r="AI61" s="13">
        <f>_xll.BDH("AMZN US Equity","BS_FUTURE_MIN_OPER_LEASE_OBLIG","FQ1 2007","FQ1 2007","Currency=USD","Period=FQ","BEST_FPERIOD_OVERRIDE=FQ","FILING_STATUS=OR","SCALING_FORMAT=MLN","Sort=A","Dates=H","DateFormat=P","Fill=—","Direction=H","UseDPDF=Y")</f>
        <v>669</v>
      </c>
      <c r="AJ61" s="13">
        <f>_xll.BDH("AMZN US Equity","BS_FUTURE_MIN_OPER_LEASE_OBLIG","FQ2 2007","FQ2 2007","Currency=USD","Period=FQ","BEST_FPERIOD_OVERRIDE=FQ","FILING_STATUS=OR","SCALING_FORMAT=MLN","Sort=A","Dates=H","DateFormat=P","Fill=—","Direction=H","UseDPDF=Y")</f>
        <v>679</v>
      </c>
      <c r="AK61" s="13">
        <f>_xll.BDH("AMZN US Equity","BS_FUTURE_MIN_OPER_LEASE_OBLIG","FQ3 2007","FQ3 2007","Currency=USD","Period=FQ","BEST_FPERIOD_OVERRIDE=FQ","FILING_STATUS=OR","SCALING_FORMAT=MLN","Sort=A","Dates=H","DateFormat=P","Fill=—","Direction=H","UseDPDF=Y")</f>
        <v>686</v>
      </c>
      <c r="AL61" s="13">
        <f>_xll.BDH("AMZN US Equity","BS_FUTURE_MIN_OPER_LEASE_OBLIG","FQ4 2007","FQ4 2007","Currency=USD","Period=FQ","BEST_FPERIOD_OVERRIDE=FQ","FILING_STATUS=OR","SCALING_FORMAT=MLN","Sort=A","Dates=H","DateFormat=P","Fill=—","Direction=H","UseDPDF=Y")</f>
        <v>650</v>
      </c>
      <c r="AM61" s="13">
        <f>_xll.BDH("AMZN US Equity","BS_FUTURE_MIN_OPER_LEASE_OBLIG","FQ1 2008","FQ1 2008","Currency=USD","Period=FQ","BEST_FPERIOD_OVERRIDE=FQ","FILING_STATUS=OR","SCALING_FORMAT=MLN","Sort=A","Dates=H","DateFormat=P","Fill=—","Direction=H","UseDPDF=Y")</f>
        <v>700</v>
      </c>
      <c r="AN61" s="13">
        <f>_xll.BDH("AMZN US Equity","BS_FUTURE_MIN_OPER_LEASE_OBLIG","FQ2 2008","FQ2 2008","Currency=USD","Period=FQ","BEST_FPERIOD_OVERRIDE=FQ","FILING_STATUS=OR","SCALING_FORMAT=MLN","Sort=A","Dates=H","DateFormat=P","Fill=—","Direction=H","UseDPDF=Y")</f>
        <v>736</v>
      </c>
      <c r="AO61" s="13">
        <f>_xll.BDH("AMZN US Equity","BS_FUTURE_MIN_OPER_LEASE_OBLIG","FQ3 2008","FQ3 2008","Currency=USD","Period=FQ","BEST_FPERIOD_OVERRIDE=FQ","FILING_STATUS=OR","SCALING_FORMAT=MLN","Sort=A","Dates=H","DateFormat=P","Fill=—","Direction=H","UseDPDF=Y")</f>
        <v>752</v>
      </c>
      <c r="AP61" s="13">
        <f>_xll.BDH("AMZN US Equity","BS_FUTURE_MIN_OPER_LEASE_OBLIG","FQ4 2008","FQ4 2008","Currency=USD","Period=FQ","BEST_FPERIOD_OVERRIDE=FQ","FILING_STATUS=OR","SCALING_FORMAT=MLN","Sort=A","Dates=H","DateFormat=P","Fill=—","Direction=H","UseDPDF=Y")</f>
        <v>816</v>
      </c>
    </row>
    <row r="62" spans="1:42" x14ac:dyDescent="0.25">
      <c r="A62" s="10" t="s">
        <v>280</v>
      </c>
      <c r="B62" s="10" t="s">
        <v>281</v>
      </c>
      <c r="C62" s="13" t="str">
        <f>_xll.BDH("AMZN US Equity","BS_TOTAL_CAPITAL_LEASES","FQ4 1998","FQ4 1998","Currency=USD","Period=FQ","BEST_FPERIOD_OVERRIDE=FQ","FILING_STATUS=OR","SCALING_FORMAT=MLN","Sort=A","Dates=H","DateFormat=P","Fill=—","Direction=H","UseDPDF=Y")</f>
        <v>—</v>
      </c>
      <c r="D62" s="13" t="str">
        <f>_xll.BDH("AMZN US Equity","BS_TOTAL_CAPITAL_LEASES","FQ1 1999","FQ1 1999","Currency=USD","Period=FQ","BEST_FPERIOD_OVERRIDE=FQ","FILING_STATUS=OR","SCALING_FORMAT=MLN","Sort=A","Dates=H","DateFormat=P","Fill=—","Direction=H","UseDPDF=Y")</f>
        <v>—</v>
      </c>
      <c r="E62" s="13" t="str">
        <f>_xll.BDH("AMZN US Equity","BS_TOTAL_CAPITAL_LEASES","FQ2 1999","FQ2 1999","Currency=USD","Period=FQ","BEST_FPERIOD_OVERRIDE=FQ","FILING_STATUS=OR","SCALING_FORMAT=MLN","Sort=A","Dates=H","DateFormat=P","Fill=—","Direction=H","UseDPDF=Y")</f>
        <v>—</v>
      </c>
      <c r="F62" s="13" t="str">
        <f>_xll.BDH("AMZN US Equity","BS_TOTAL_CAPITAL_LEASES","FQ3 1999","FQ3 1999","Currency=USD","Period=FQ","BEST_FPERIOD_OVERRIDE=FQ","FILING_STATUS=OR","SCALING_FORMAT=MLN","Sort=A","Dates=H","DateFormat=P","Fill=—","Direction=H","UseDPDF=Y")</f>
        <v>—</v>
      </c>
      <c r="G62" s="13" t="str">
        <f>_xll.BDH("AMZN US Equity","BS_TOTAL_CAPITAL_LEASES","FQ4 1999","FQ4 1999","Currency=USD","Period=FQ","BEST_FPERIOD_OVERRIDE=FQ","FILING_STATUS=OR","SCALING_FORMAT=MLN","Sort=A","Dates=H","DateFormat=P","Fill=—","Direction=H","UseDPDF=Y")</f>
        <v>—</v>
      </c>
      <c r="H62" s="13" t="str">
        <f>_xll.BDH("AMZN US Equity","BS_TOTAL_CAPITAL_LEASES","FQ1 2000","FQ1 2000","Currency=USD","Period=FQ","BEST_FPERIOD_OVERRIDE=FQ","FILING_STATUS=OR","SCALING_FORMAT=MLN","Sort=A","Dates=H","DateFormat=P","Fill=—","Direction=H","UseDPDF=Y")</f>
        <v>—</v>
      </c>
      <c r="I62" s="13" t="str">
        <f>_xll.BDH("AMZN US Equity","BS_TOTAL_CAPITAL_LEASES","FQ3 2000","FQ3 2000","Currency=USD","Period=FQ","BEST_FPERIOD_OVERRIDE=FQ","FILING_STATUS=OR","SCALING_FORMAT=MLN","Sort=A","Dates=H","DateFormat=P","Fill=—","Direction=H","UseDPDF=Y")</f>
        <v>—</v>
      </c>
      <c r="J62" s="13" t="str">
        <f>_xll.BDH("AMZN US Equity","BS_TOTAL_CAPITAL_LEASES","FQ4 2000","FQ4 2000","Currency=USD","Period=FQ","BEST_FPERIOD_OVERRIDE=FQ","FILING_STATUS=OR","SCALING_FORMAT=MLN","Sort=A","Dates=H","DateFormat=P","Fill=—","Direction=H","UseDPDF=Y")</f>
        <v>—</v>
      </c>
      <c r="K62" s="13" t="str">
        <f>_xll.BDH("AMZN US Equity","BS_TOTAL_CAPITAL_LEASES","FQ1 2001","FQ1 2001","Currency=USD","Period=FQ","BEST_FPERIOD_OVERRIDE=FQ","FILING_STATUS=OR","SCALING_FORMAT=MLN","Sort=A","Dates=H","DateFormat=P","Fill=—","Direction=H","UseDPDF=Y")</f>
        <v>—</v>
      </c>
      <c r="L62" s="13" t="str">
        <f>_xll.BDH("AMZN US Equity","BS_TOTAL_CAPITAL_LEASES","FQ2 2001","FQ2 2001","Currency=USD","Period=FQ","BEST_FPERIOD_OVERRIDE=FQ","FILING_STATUS=OR","SCALING_FORMAT=MLN","Sort=A","Dates=H","DateFormat=P","Fill=—","Direction=H","UseDPDF=Y")</f>
        <v>—</v>
      </c>
      <c r="M62" s="13" t="str">
        <f>_xll.BDH("AMZN US Equity","BS_TOTAL_CAPITAL_LEASES","FQ3 2001","FQ3 2001","Currency=USD","Period=FQ","BEST_FPERIOD_OVERRIDE=FQ","FILING_STATUS=OR","SCALING_FORMAT=MLN","Sort=A","Dates=H","DateFormat=P","Fill=—","Direction=H","UseDPDF=Y")</f>
        <v>—</v>
      </c>
      <c r="N62" s="13" t="str">
        <f>_xll.BDH("AMZN US Equity","BS_TOTAL_CAPITAL_LEASES","FQ4 2001","FQ4 2001","Currency=USD","Period=FQ","BEST_FPERIOD_OVERRIDE=FQ","FILING_STATUS=OR","SCALING_FORMAT=MLN","Sort=A","Dates=H","DateFormat=P","Fill=—","Direction=H","UseDPDF=Y")</f>
        <v>—</v>
      </c>
      <c r="O62" s="13" t="str">
        <f>_xll.BDH("AMZN US Equity","BS_TOTAL_CAPITAL_LEASES","FQ1 2002","FQ1 2002","Currency=USD","Period=FQ","BEST_FPERIOD_OVERRIDE=FQ","FILING_STATUS=OR","SCALING_FORMAT=MLN","Sort=A","Dates=H","DateFormat=P","Fill=—","Direction=H","UseDPDF=Y")</f>
        <v>—</v>
      </c>
      <c r="P62" s="13" t="str">
        <f>_xll.BDH("AMZN US Equity","BS_TOTAL_CAPITAL_LEASES","FQ2 2002","FQ2 2002","Currency=USD","Period=FQ","BEST_FPERIOD_OVERRIDE=FQ","FILING_STATUS=OR","SCALING_FORMAT=MLN","Sort=A","Dates=H","DateFormat=P","Fill=—","Direction=H","UseDPDF=Y")</f>
        <v>—</v>
      </c>
      <c r="Q62" s="13" t="str">
        <f>_xll.BDH("AMZN US Equity","BS_TOTAL_CAPITAL_LEASES","FQ3 2002","FQ3 2002","Currency=USD","Period=FQ","BEST_FPERIOD_OVERRIDE=FQ","FILING_STATUS=OR","SCALING_FORMAT=MLN","Sort=A","Dates=H","DateFormat=P","Fill=—","Direction=H","UseDPDF=Y")</f>
        <v>—</v>
      </c>
      <c r="R62" s="13" t="str">
        <f>_xll.BDH("AMZN US Equity","BS_TOTAL_CAPITAL_LEASES","FQ4 2002","FQ4 2002","Currency=USD","Period=FQ","BEST_FPERIOD_OVERRIDE=FQ","FILING_STATUS=OR","SCALING_FORMAT=MLN","Sort=A","Dates=H","DateFormat=P","Fill=—","Direction=H","UseDPDF=Y")</f>
        <v>—</v>
      </c>
      <c r="S62" s="13" t="str">
        <f>_xll.BDH("AMZN US Equity","BS_TOTAL_CAPITAL_LEASES","FQ1 2003","FQ1 2003","Currency=USD","Period=FQ","BEST_FPERIOD_OVERRIDE=FQ","FILING_STATUS=OR","SCALING_FORMAT=MLN","Sort=A","Dates=H","DateFormat=P","Fill=—","Direction=H","UseDPDF=Y")</f>
        <v>—</v>
      </c>
      <c r="T62" s="13" t="str">
        <f>_xll.BDH("AMZN US Equity","BS_TOTAL_CAPITAL_LEASES","FQ2 2003","FQ2 2003","Currency=USD","Period=FQ","BEST_FPERIOD_OVERRIDE=FQ","FILING_STATUS=OR","SCALING_FORMAT=MLN","Sort=A","Dates=H","DateFormat=P","Fill=—","Direction=H","UseDPDF=Y")</f>
        <v>—</v>
      </c>
      <c r="U62" s="13" t="str">
        <f>_xll.BDH("AMZN US Equity","BS_TOTAL_CAPITAL_LEASES","FQ3 2003","FQ3 2003","Currency=USD","Period=FQ","BEST_FPERIOD_OVERRIDE=FQ","FILING_STATUS=OR","SCALING_FORMAT=MLN","Sort=A","Dates=H","DateFormat=P","Fill=—","Direction=H","UseDPDF=Y")</f>
        <v>—</v>
      </c>
      <c r="V62" s="13" t="str">
        <f>_xll.BDH("AMZN US Equity","BS_TOTAL_CAPITAL_LEASES","FQ4 2003","FQ4 2003","Currency=USD","Period=FQ","BEST_FPERIOD_OVERRIDE=FQ","FILING_STATUS=OR","SCALING_FORMAT=MLN","Sort=A","Dates=H","DateFormat=P","Fill=—","Direction=H","UseDPDF=Y")</f>
        <v>—</v>
      </c>
      <c r="W62" s="13" t="str">
        <f>_xll.BDH("AMZN US Equity","BS_TOTAL_CAPITAL_LEASES","FQ1 2004","FQ1 2004","Currency=USD","Period=FQ","BEST_FPERIOD_OVERRIDE=FQ","FILING_STATUS=OR","SCALING_FORMAT=MLN","Sort=A","Dates=H","DateFormat=P","Fill=—","Direction=H","UseDPDF=Y")</f>
        <v>—</v>
      </c>
      <c r="X62" s="13" t="str">
        <f>_xll.BDH("AMZN US Equity","BS_TOTAL_CAPITAL_LEASES","FQ2 2004","FQ2 2004","Currency=USD","Period=FQ","BEST_FPERIOD_OVERRIDE=FQ","FILING_STATUS=OR","SCALING_FORMAT=MLN","Sort=A","Dates=H","DateFormat=P","Fill=—","Direction=H","UseDPDF=Y")</f>
        <v>—</v>
      </c>
      <c r="Y62" s="13" t="str">
        <f>_xll.BDH("AMZN US Equity","BS_TOTAL_CAPITAL_LEASES","FQ3 2004","FQ3 2004","Currency=USD","Period=FQ","BEST_FPERIOD_OVERRIDE=FQ","FILING_STATUS=OR","SCALING_FORMAT=MLN","Sort=A","Dates=H","DateFormat=P","Fill=—","Direction=H","UseDPDF=Y")</f>
        <v>—</v>
      </c>
      <c r="Z62" s="13">
        <f>_xll.BDH("AMZN US Equity","BS_TOTAL_CAPITAL_LEASES","FQ4 2004","FQ4 2004","Currency=USD","Period=FQ","BEST_FPERIOD_OVERRIDE=FQ","FILING_STATUS=OR","SCALING_FORMAT=MLN","Sort=A","Dates=H","DateFormat=P","Fill=—","Direction=H","UseDPDF=Y")</f>
        <v>1.744</v>
      </c>
      <c r="AA62" s="13">
        <f>_xll.BDH("AMZN US Equity","BS_TOTAL_CAPITAL_LEASES","FQ1 2005","FQ1 2005","Currency=USD","Period=FQ","BEST_FPERIOD_OVERRIDE=FQ","FILING_STATUS=OR","SCALING_FORMAT=MLN","Sort=A","Dates=H","DateFormat=P","Fill=—","Direction=H","UseDPDF=Y")</f>
        <v>1.8</v>
      </c>
      <c r="AB62" s="13">
        <f>_xll.BDH("AMZN US Equity","BS_TOTAL_CAPITAL_LEASES","FQ2 2005","FQ2 2005","Currency=USD","Period=FQ","BEST_FPERIOD_OVERRIDE=FQ","FILING_STATUS=OR","SCALING_FORMAT=MLN","Sort=A","Dates=H","DateFormat=P","Fill=—","Direction=H","UseDPDF=Y")</f>
        <v>1.2</v>
      </c>
      <c r="AC62" s="13">
        <f>_xll.BDH("AMZN US Equity","BS_TOTAL_CAPITAL_LEASES","FQ3 2005","FQ3 2005","Currency=USD","Period=FQ","BEST_FPERIOD_OVERRIDE=FQ","FILING_STATUS=OR","SCALING_FORMAT=MLN","Sort=A","Dates=H","DateFormat=P","Fill=—","Direction=H","UseDPDF=Y")</f>
        <v>1</v>
      </c>
      <c r="AD62" s="13">
        <f>_xll.BDH("AMZN US Equity","BS_TOTAL_CAPITAL_LEASES","FQ4 2005","FQ4 2005","Currency=USD","Period=FQ","BEST_FPERIOD_OVERRIDE=FQ","FILING_STATUS=OR","SCALING_FORMAT=MLN","Sort=A","Dates=H","DateFormat=P","Fill=—","Direction=H","UseDPDF=Y")</f>
        <v>7</v>
      </c>
      <c r="AE62" s="13">
        <f>_xll.BDH("AMZN US Equity","BS_TOTAL_CAPITAL_LEASES","FQ1 2006","FQ1 2006","Currency=USD","Period=FQ","BEST_FPERIOD_OVERRIDE=FQ","FILING_STATUS=OR","SCALING_FORMAT=MLN","Sort=A","Dates=H","DateFormat=P","Fill=—","Direction=H","UseDPDF=Y")</f>
        <v>12</v>
      </c>
      <c r="AF62" s="13">
        <f>_xll.BDH("AMZN US Equity","BS_TOTAL_CAPITAL_LEASES","FQ2 2006","FQ2 2006","Currency=USD","Period=FQ","BEST_FPERIOD_OVERRIDE=FQ","FILING_STATUS=OR","SCALING_FORMAT=MLN","Sort=A","Dates=H","DateFormat=P","Fill=—","Direction=H","UseDPDF=Y")</f>
        <v>0</v>
      </c>
      <c r="AG62" s="13">
        <f>_xll.BDH("AMZN US Equity","BS_TOTAL_CAPITAL_LEASES","FQ3 2006","FQ3 2006","Currency=USD","Period=FQ","BEST_FPERIOD_OVERRIDE=FQ","FILING_STATUS=OR","SCALING_FORMAT=MLN","Sort=A","Dates=H","DateFormat=P","Fill=—","Direction=H","UseDPDF=Y")</f>
        <v>0</v>
      </c>
      <c r="AH62" s="13">
        <f>_xll.BDH("AMZN US Equity","BS_TOTAL_CAPITAL_LEASES","FQ4 2006","FQ4 2006","Currency=USD","Period=FQ","BEST_FPERIOD_OVERRIDE=FQ","FILING_STATUS=OR","SCALING_FORMAT=MLN","Sort=A","Dates=H","DateFormat=P","Fill=—","Direction=H","UseDPDF=Y")</f>
        <v>55</v>
      </c>
      <c r="AI62" s="13">
        <f>_xll.BDH("AMZN US Equity","BS_TOTAL_CAPITAL_LEASES","FQ1 2007","FQ1 2007","Currency=USD","Period=FQ","BEST_FPERIOD_OVERRIDE=FQ","FILING_STATUS=OR","SCALING_FORMAT=MLN","Sort=A","Dates=H","DateFormat=P","Fill=—","Direction=H","UseDPDF=Y")</f>
        <v>63</v>
      </c>
      <c r="AJ62" s="13">
        <f>_xll.BDH("AMZN US Equity","BS_TOTAL_CAPITAL_LEASES","FQ2 2007","FQ2 2007","Currency=USD","Period=FQ","BEST_FPERIOD_OVERRIDE=FQ","FILING_STATUS=OR","SCALING_FORMAT=MLN","Sort=A","Dates=H","DateFormat=P","Fill=—","Direction=H","UseDPDF=Y")</f>
        <v>64</v>
      </c>
      <c r="AK62" s="13">
        <f>_xll.BDH("AMZN US Equity","BS_TOTAL_CAPITAL_LEASES","FQ3 2007","FQ3 2007","Currency=USD","Period=FQ","BEST_FPERIOD_OVERRIDE=FQ","FILING_STATUS=OR","SCALING_FORMAT=MLN","Sort=A","Dates=H","DateFormat=P","Fill=—","Direction=H","UseDPDF=Y")</f>
        <v>78</v>
      </c>
      <c r="AL62" s="13">
        <f>_xll.BDH("AMZN US Equity","BS_TOTAL_CAPITAL_LEASES","FQ4 2007","FQ4 2007","Currency=USD","Period=FQ","BEST_FPERIOD_OVERRIDE=FQ","FILING_STATUS=OR","SCALING_FORMAT=MLN","Sort=A","Dates=H","DateFormat=P","Fill=—","Direction=H","UseDPDF=Y")</f>
        <v>88</v>
      </c>
      <c r="AM62" s="13">
        <f>_xll.BDH("AMZN US Equity","BS_TOTAL_CAPITAL_LEASES","FQ1 2008","FQ1 2008","Currency=USD","Period=FQ","BEST_FPERIOD_OVERRIDE=FQ","FILING_STATUS=OR","SCALING_FORMAT=MLN","Sort=A","Dates=H","DateFormat=P","Fill=—","Direction=H","UseDPDF=Y")</f>
        <v>112</v>
      </c>
      <c r="AN62" s="13">
        <f>_xll.BDH("AMZN US Equity","BS_TOTAL_CAPITAL_LEASES","FQ2 2008","FQ2 2008","Currency=USD","Period=FQ","BEST_FPERIOD_OVERRIDE=FQ","FILING_STATUS=OR","SCALING_FORMAT=MLN","Sort=A","Dates=H","DateFormat=P","Fill=—","Direction=H","UseDPDF=Y")</f>
        <v>157</v>
      </c>
      <c r="AO62" s="13">
        <f>_xll.BDH("AMZN US Equity","BS_TOTAL_CAPITAL_LEASES","FQ3 2008","FQ3 2008","Currency=USD","Period=FQ","BEST_FPERIOD_OVERRIDE=FQ","FILING_STATUS=OR","SCALING_FORMAT=MLN","Sort=A","Dates=H","DateFormat=P","Fill=—","Direction=H","UseDPDF=Y")</f>
        <v>183</v>
      </c>
      <c r="AP62" s="13">
        <f>_xll.BDH("AMZN US Equity","BS_TOTAL_CAPITAL_LEASES","FQ4 2008","FQ4 2008","Currency=USD","Period=FQ","BEST_FPERIOD_OVERRIDE=FQ","FILING_STATUS=OR","SCALING_FORMAT=MLN","Sort=A","Dates=H","DateFormat=P","Fill=—","Direction=H","UseDPDF=Y")</f>
        <v>196</v>
      </c>
    </row>
    <row r="63" spans="1:42" x14ac:dyDescent="0.25">
      <c r="A63" s="10" t="s">
        <v>282</v>
      </c>
      <c r="B63" s="10" t="s">
        <v>283</v>
      </c>
      <c r="C63" s="13" t="str">
        <f>_xll.BDH("AMZN US Equity","BS_OPTIONS_GRANTED","FQ4 1998","FQ4 1998","Currency=USD","Period=FQ","BEST_FPERIOD_OVERRIDE=FQ","FILING_STATUS=OR","Sort=A","Dates=H","DateFormat=P","Fill=—","Direction=H","UseDPDF=Y")</f>
        <v>—</v>
      </c>
      <c r="D63" s="13" t="str">
        <f>_xll.BDH("AMZN US Equity","BS_OPTIONS_GRANTED","FQ1 1999","FQ1 1999","Currency=USD","Period=FQ","BEST_FPERIOD_OVERRIDE=FQ","FILING_STATUS=OR","Sort=A","Dates=H","DateFormat=P","Fill=—","Direction=H","UseDPDF=Y")</f>
        <v>—</v>
      </c>
      <c r="E63" s="13" t="str">
        <f>_xll.BDH("AMZN US Equity","BS_OPTIONS_GRANTED","FQ2 1999","FQ2 1999","Currency=USD","Period=FQ","BEST_FPERIOD_OVERRIDE=FQ","FILING_STATUS=OR","Sort=A","Dates=H","DateFormat=P","Fill=—","Direction=H","UseDPDF=Y")</f>
        <v>—</v>
      </c>
      <c r="F63" s="13" t="str">
        <f>_xll.BDH("AMZN US Equity","BS_OPTIONS_GRANTED","FQ3 1999","FQ3 1999","Currency=USD","Period=FQ","BEST_FPERIOD_OVERRIDE=FQ","FILING_STATUS=OR","Sort=A","Dates=H","DateFormat=P","Fill=—","Direction=H","UseDPDF=Y")</f>
        <v>—</v>
      </c>
      <c r="G63" s="13" t="str">
        <f>_xll.BDH("AMZN US Equity","BS_OPTIONS_GRANTED","FQ4 1999","FQ4 1999","Currency=USD","Period=FQ","BEST_FPERIOD_OVERRIDE=FQ","FILING_STATUS=OR","Sort=A","Dates=H","DateFormat=P","Fill=—","Direction=H","UseDPDF=Y")</f>
        <v>—</v>
      </c>
      <c r="H63" s="13" t="str">
        <f>_xll.BDH("AMZN US Equity","BS_OPTIONS_GRANTED","FQ1 2000","FQ1 2000","Currency=USD","Period=FQ","BEST_FPERIOD_OVERRIDE=FQ","FILING_STATUS=OR","Sort=A","Dates=H","DateFormat=P","Fill=—","Direction=H","UseDPDF=Y")</f>
        <v>—</v>
      </c>
      <c r="I63" s="13" t="str">
        <f>_xll.BDH("AMZN US Equity","BS_OPTIONS_GRANTED","FQ3 2000","FQ3 2000","Currency=USD","Period=FQ","BEST_FPERIOD_OVERRIDE=FQ","FILING_STATUS=OR","Sort=A","Dates=H","DateFormat=P","Fill=—","Direction=H","UseDPDF=Y")</f>
        <v>—</v>
      </c>
      <c r="J63" s="13" t="str">
        <f>_xll.BDH("AMZN US Equity","BS_OPTIONS_GRANTED","FQ4 2000","FQ4 2000","Currency=USD","Period=FQ","BEST_FPERIOD_OVERRIDE=FQ","FILING_STATUS=OR","Sort=A","Dates=H","DateFormat=P","Fill=—","Direction=H","UseDPDF=Y")</f>
        <v>—</v>
      </c>
      <c r="K63" s="13" t="str">
        <f>_xll.BDH("AMZN US Equity","BS_OPTIONS_GRANTED","FQ1 2001","FQ1 2001","Currency=USD","Period=FQ","BEST_FPERIOD_OVERRIDE=FQ","FILING_STATUS=OR","Sort=A","Dates=H","DateFormat=P","Fill=—","Direction=H","UseDPDF=Y")</f>
        <v>—</v>
      </c>
      <c r="L63" s="13" t="str">
        <f>_xll.BDH("AMZN US Equity","BS_OPTIONS_GRANTED","FQ2 2001","FQ2 2001","Currency=USD","Period=FQ","BEST_FPERIOD_OVERRIDE=FQ","FILING_STATUS=OR","Sort=A","Dates=H","DateFormat=P","Fill=—","Direction=H","UseDPDF=Y")</f>
        <v>—</v>
      </c>
      <c r="M63" s="13" t="str">
        <f>_xll.BDH("AMZN US Equity","BS_OPTIONS_GRANTED","FQ3 2001","FQ3 2001","Currency=USD","Period=FQ","BEST_FPERIOD_OVERRIDE=FQ","FILING_STATUS=OR","Sort=A","Dates=H","DateFormat=P","Fill=—","Direction=H","UseDPDF=Y")</f>
        <v>—</v>
      </c>
      <c r="N63" s="13" t="str">
        <f>_xll.BDH("AMZN US Equity","BS_OPTIONS_GRANTED","FQ4 2001","FQ4 2001","Currency=USD","Period=FQ","BEST_FPERIOD_OVERRIDE=FQ","FILING_STATUS=OR","Sort=A","Dates=H","DateFormat=P","Fill=—","Direction=H","UseDPDF=Y")</f>
        <v>—</v>
      </c>
      <c r="O63" s="13" t="str">
        <f>_xll.BDH("AMZN US Equity","BS_OPTIONS_GRANTED","FQ1 2002","FQ1 2002","Currency=USD","Period=FQ","BEST_FPERIOD_OVERRIDE=FQ","FILING_STATUS=OR","Sort=A","Dates=H","DateFormat=P","Fill=—","Direction=H","UseDPDF=Y")</f>
        <v>—</v>
      </c>
      <c r="P63" s="13" t="str">
        <f>_xll.BDH("AMZN US Equity","BS_OPTIONS_GRANTED","FQ2 2002","FQ2 2002","Currency=USD","Period=FQ","BEST_FPERIOD_OVERRIDE=FQ","FILING_STATUS=OR","Sort=A","Dates=H","DateFormat=P","Fill=—","Direction=H","UseDPDF=Y")</f>
        <v>—</v>
      </c>
      <c r="Q63" s="13" t="str">
        <f>_xll.BDH("AMZN US Equity","BS_OPTIONS_GRANTED","FQ3 2002","FQ3 2002","Currency=USD","Period=FQ","BEST_FPERIOD_OVERRIDE=FQ","FILING_STATUS=OR","Sort=A","Dates=H","DateFormat=P","Fill=—","Direction=H","UseDPDF=Y")</f>
        <v>—</v>
      </c>
      <c r="R63" s="13" t="str">
        <f>_xll.BDH("AMZN US Equity","BS_OPTIONS_GRANTED","FQ4 2002","FQ4 2002","Currency=USD","Period=FQ","BEST_FPERIOD_OVERRIDE=FQ","FILING_STATUS=OR","Sort=A","Dates=H","DateFormat=P","Fill=—","Direction=H","UseDPDF=Y")</f>
        <v>—</v>
      </c>
      <c r="S63" s="13" t="str">
        <f>_xll.BDH("AMZN US Equity","BS_OPTIONS_GRANTED","FQ1 2003","FQ1 2003","Currency=USD","Period=FQ","BEST_FPERIOD_OVERRIDE=FQ","FILING_STATUS=OR","Sort=A","Dates=H","DateFormat=P","Fill=—","Direction=H","UseDPDF=Y")</f>
        <v>—</v>
      </c>
      <c r="T63" s="13" t="str">
        <f>_xll.BDH("AMZN US Equity","BS_OPTIONS_GRANTED","FQ2 2003","FQ2 2003","Currency=USD","Period=FQ","BEST_FPERIOD_OVERRIDE=FQ","FILING_STATUS=OR","Sort=A","Dates=H","DateFormat=P","Fill=—","Direction=H","UseDPDF=Y")</f>
        <v>—</v>
      </c>
      <c r="U63" s="13" t="str">
        <f>_xll.BDH("AMZN US Equity","BS_OPTIONS_GRANTED","FQ3 2003","FQ3 2003","Currency=USD","Period=FQ","BEST_FPERIOD_OVERRIDE=FQ","FILING_STATUS=OR","Sort=A","Dates=H","DateFormat=P","Fill=—","Direction=H","UseDPDF=Y")</f>
        <v>—</v>
      </c>
      <c r="V63" s="13" t="str">
        <f>_xll.BDH("AMZN US Equity","BS_OPTIONS_GRANTED","FQ4 2003","FQ4 2003","Currency=USD","Period=FQ","BEST_FPERIOD_OVERRIDE=FQ","FILING_STATUS=OR","Sort=A","Dates=H","DateFormat=P","Fill=—","Direction=H","UseDPDF=Y")</f>
        <v>—</v>
      </c>
      <c r="W63" s="13" t="str">
        <f>_xll.BDH("AMZN US Equity","BS_OPTIONS_GRANTED","FQ1 2004","FQ1 2004","Currency=USD","Period=FQ","BEST_FPERIOD_OVERRIDE=FQ","FILING_STATUS=OR","Sort=A","Dates=H","DateFormat=P","Fill=—","Direction=H","UseDPDF=Y")</f>
        <v>—</v>
      </c>
      <c r="X63" s="13" t="str">
        <f>_xll.BDH("AMZN US Equity","BS_OPTIONS_GRANTED","FQ2 2004","FQ2 2004","Currency=USD","Period=FQ","BEST_FPERIOD_OVERRIDE=FQ","FILING_STATUS=OR","Sort=A","Dates=H","DateFormat=P","Fill=—","Direction=H","UseDPDF=Y")</f>
        <v>—</v>
      </c>
      <c r="Y63" s="13" t="str">
        <f>_xll.BDH("AMZN US Equity","BS_OPTIONS_GRANTED","FQ3 2004","FQ3 2004","Currency=USD","Period=FQ","BEST_FPERIOD_OVERRIDE=FQ","FILING_STATUS=OR","Sort=A","Dates=H","DateFormat=P","Fill=—","Direction=H","UseDPDF=Y")</f>
        <v>—</v>
      </c>
      <c r="Z63" s="13" t="str">
        <f>_xll.BDH("AMZN US Equity","BS_OPTIONS_GRANTED","FQ4 2004","FQ4 2004","Currency=USD","Period=FQ","BEST_FPERIOD_OVERRIDE=FQ","FILING_STATUS=OR","Sort=A","Dates=H","DateFormat=P","Fill=—","Direction=H","UseDPDF=Y")</f>
        <v>—</v>
      </c>
      <c r="AA63" s="13">
        <f>_xll.BDH("AMZN US Equity","BS_OPTIONS_GRANTED","FQ1 2005","FQ1 2005","Currency=USD","Period=FQ","BEST_FPERIOD_OVERRIDE=FQ","FILING_STATUS=OR","Sort=A","Dates=H","DateFormat=P","Fill=—","Direction=H","UseDPDF=Y")</f>
        <v>0</v>
      </c>
      <c r="AB63" s="13">
        <f>_xll.BDH("AMZN US Equity","BS_OPTIONS_GRANTED","FQ2 2005","FQ2 2005","Currency=USD","Period=FQ","BEST_FPERIOD_OVERRIDE=FQ","FILING_STATUS=OR","Sort=A","Dates=H","DateFormat=P","Fill=—","Direction=H","UseDPDF=Y")</f>
        <v>0.1</v>
      </c>
      <c r="AC63" s="13">
        <f>_xll.BDH("AMZN US Equity","BS_OPTIONS_GRANTED","FQ3 2005","FQ3 2005","Currency=USD","Period=FQ","BEST_FPERIOD_OVERRIDE=FQ","FILING_STATUS=OR","Sort=A","Dates=H","DateFormat=P","Fill=—","Direction=H","UseDPDF=Y")</f>
        <v>0</v>
      </c>
      <c r="AD63" s="13">
        <f>_xll.BDH("AMZN US Equity","BS_OPTIONS_GRANTED","FQ4 2005","FQ4 2005","Currency=USD","Period=FQ","BEST_FPERIOD_OVERRIDE=FQ","FILING_STATUS=OR","Sort=A","Dates=H","DateFormat=P","Fill=—","Direction=H","UseDPDF=Y")</f>
        <v>0.1</v>
      </c>
      <c r="AE63" s="13" t="str">
        <f>_xll.BDH("AMZN US Equity","BS_OPTIONS_GRANTED","FQ1 2006","FQ1 2006","Currency=USD","Period=FQ","BEST_FPERIOD_OVERRIDE=FQ","FILING_STATUS=OR","Sort=A","Dates=H","DateFormat=P","Fill=—","Direction=H","UseDPDF=Y")</f>
        <v>—</v>
      </c>
      <c r="AF63" s="13" t="str">
        <f>_xll.BDH("AMZN US Equity","BS_OPTIONS_GRANTED","FQ2 2006","FQ2 2006","Currency=USD","Period=FQ","BEST_FPERIOD_OVERRIDE=FQ","FILING_STATUS=OR","Sort=A","Dates=H","DateFormat=P","Fill=—","Direction=H","UseDPDF=Y")</f>
        <v>—</v>
      </c>
      <c r="AG63" s="13" t="str">
        <f>_xll.BDH("AMZN US Equity","BS_OPTIONS_GRANTED","FQ3 2006","FQ3 2006","Currency=USD","Period=FQ","BEST_FPERIOD_OVERRIDE=FQ","FILING_STATUS=OR","Sort=A","Dates=H","DateFormat=P","Fill=—","Direction=H","UseDPDF=Y")</f>
        <v>—</v>
      </c>
      <c r="AH63" s="13">
        <f>_xll.BDH("AMZN US Equity","BS_OPTIONS_GRANTED","FQ4 2006","FQ4 2006","Currency=USD","Period=FQ","BEST_FPERIOD_OVERRIDE=FQ","FILING_STATUS=OR","Sort=A","Dates=H","DateFormat=P","Fill=—","Direction=H","UseDPDF=Y")</f>
        <v>0</v>
      </c>
      <c r="AI63" s="13" t="str">
        <f>_xll.BDH("AMZN US Equity","BS_OPTIONS_GRANTED","FQ1 2007","FQ1 2007","Currency=USD","Period=FQ","BEST_FPERIOD_OVERRIDE=FQ","FILING_STATUS=OR","Sort=A","Dates=H","DateFormat=P","Fill=—","Direction=H","UseDPDF=Y")</f>
        <v>—</v>
      </c>
      <c r="AJ63" s="13" t="str">
        <f>_xll.BDH("AMZN US Equity","BS_OPTIONS_GRANTED","FQ2 2007","FQ2 2007","Currency=USD","Period=FQ","BEST_FPERIOD_OVERRIDE=FQ","FILING_STATUS=OR","Sort=A","Dates=H","DateFormat=P","Fill=—","Direction=H","UseDPDF=Y")</f>
        <v>—</v>
      </c>
      <c r="AK63" s="13" t="str">
        <f>_xll.BDH("AMZN US Equity","BS_OPTIONS_GRANTED","FQ3 2007","FQ3 2007","Currency=USD","Period=FQ","BEST_FPERIOD_OVERRIDE=FQ","FILING_STATUS=OR","Sort=A","Dates=H","DateFormat=P","Fill=—","Direction=H","UseDPDF=Y")</f>
        <v>—</v>
      </c>
      <c r="AL63" s="13" t="str">
        <f>_xll.BDH("AMZN US Equity","BS_OPTIONS_GRANTED","FQ4 2007","FQ4 2007","Currency=USD","Period=FQ","BEST_FPERIOD_OVERRIDE=FQ","FILING_STATUS=OR","Sort=A","Dates=H","DateFormat=P","Fill=—","Direction=H","UseDPDF=Y")</f>
        <v>—</v>
      </c>
      <c r="AM63" s="13" t="str">
        <f>_xll.BDH("AMZN US Equity","BS_OPTIONS_GRANTED","FQ1 2008","FQ1 2008","Currency=USD","Period=FQ","BEST_FPERIOD_OVERRIDE=FQ","FILING_STATUS=OR","Sort=A","Dates=H","DateFormat=P","Fill=—","Direction=H","UseDPDF=Y")</f>
        <v>—</v>
      </c>
      <c r="AN63" s="13" t="str">
        <f>_xll.BDH("AMZN US Equity","BS_OPTIONS_GRANTED","FQ2 2008","FQ2 2008","Currency=USD","Period=FQ","BEST_FPERIOD_OVERRIDE=FQ","FILING_STATUS=OR","Sort=A","Dates=H","DateFormat=P","Fill=—","Direction=H","UseDPDF=Y")</f>
        <v>—</v>
      </c>
      <c r="AO63" s="13" t="str">
        <f>_xll.BDH("AMZN US Equity","BS_OPTIONS_GRANTED","FQ3 2008","FQ3 2008","Currency=USD","Period=FQ","BEST_FPERIOD_OVERRIDE=FQ","FILING_STATUS=OR","Sort=A","Dates=H","DateFormat=P","Fill=—","Direction=H","UseDPDF=Y")</f>
        <v>—</v>
      </c>
      <c r="AP63" s="13" t="str">
        <f>_xll.BDH("AMZN US Equity","BS_OPTIONS_GRANTED","FQ4 2008","FQ4 2008","Currency=USD","Period=FQ","BEST_FPERIOD_OVERRIDE=FQ","FILING_STATUS=OR","Sort=A","Dates=H","DateFormat=P","Fill=—","Direction=H","UseDPDF=Y")</f>
        <v>—</v>
      </c>
    </row>
    <row r="64" spans="1:42" x14ac:dyDescent="0.25">
      <c r="A64" s="10" t="s">
        <v>284</v>
      </c>
      <c r="B64" s="10" t="s">
        <v>285</v>
      </c>
      <c r="C64" s="13" t="str">
        <f>_xll.BDH("AMZN US Equity","BS_OPTIONS_OUTSTANDING","FQ4 1998","FQ4 1998","Currency=USD","Period=FQ","BEST_FPERIOD_OVERRIDE=FQ","FILING_STATUS=OR","Sort=A","Dates=H","DateFormat=P","Fill=—","Direction=H","UseDPDF=Y")</f>
        <v>—</v>
      </c>
      <c r="D64" s="13" t="str">
        <f>_xll.BDH("AMZN US Equity","BS_OPTIONS_OUTSTANDING","FQ1 1999","FQ1 1999","Currency=USD","Period=FQ","BEST_FPERIOD_OVERRIDE=FQ","FILING_STATUS=OR","Sort=A","Dates=H","DateFormat=P","Fill=—","Direction=H","UseDPDF=Y")</f>
        <v>—</v>
      </c>
      <c r="E64" s="13" t="str">
        <f>_xll.BDH("AMZN US Equity","BS_OPTIONS_OUTSTANDING","FQ2 1999","FQ2 1999","Currency=USD","Period=FQ","BEST_FPERIOD_OVERRIDE=FQ","FILING_STATUS=OR","Sort=A","Dates=H","DateFormat=P","Fill=—","Direction=H","UseDPDF=Y")</f>
        <v>—</v>
      </c>
      <c r="F64" s="13" t="str">
        <f>_xll.BDH("AMZN US Equity","BS_OPTIONS_OUTSTANDING","FQ3 1999","FQ3 1999","Currency=USD","Period=FQ","BEST_FPERIOD_OVERRIDE=FQ","FILING_STATUS=OR","Sort=A","Dates=H","DateFormat=P","Fill=—","Direction=H","UseDPDF=Y")</f>
        <v>—</v>
      </c>
      <c r="G64" s="13" t="str">
        <f>_xll.BDH("AMZN US Equity","BS_OPTIONS_OUTSTANDING","FQ4 1999","FQ4 1999","Currency=USD","Period=FQ","BEST_FPERIOD_OVERRIDE=FQ","FILING_STATUS=OR","Sort=A","Dates=H","DateFormat=P","Fill=—","Direction=H","UseDPDF=Y")</f>
        <v>—</v>
      </c>
      <c r="H64" s="13" t="str">
        <f>_xll.BDH("AMZN US Equity","BS_OPTIONS_OUTSTANDING","FQ1 2000","FQ1 2000","Currency=USD","Period=FQ","BEST_FPERIOD_OVERRIDE=FQ","FILING_STATUS=OR","Sort=A","Dates=H","DateFormat=P","Fill=—","Direction=H","UseDPDF=Y")</f>
        <v>—</v>
      </c>
      <c r="I64" s="13" t="str">
        <f>_xll.BDH("AMZN US Equity","BS_OPTIONS_OUTSTANDING","FQ3 2000","FQ3 2000","Currency=USD","Period=FQ","BEST_FPERIOD_OVERRIDE=FQ","FILING_STATUS=OR","Sort=A","Dates=H","DateFormat=P","Fill=—","Direction=H","UseDPDF=Y")</f>
        <v>—</v>
      </c>
      <c r="J64" s="13" t="str">
        <f>_xll.BDH("AMZN US Equity","BS_OPTIONS_OUTSTANDING","FQ4 2000","FQ4 2000","Currency=USD","Period=FQ","BEST_FPERIOD_OVERRIDE=FQ","FILING_STATUS=OR","Sort=A","Dates=H","DateFormat=P","Fill=—","Direction=H","UseDPDF=Y")</f>
        <v>—</v>
      </c>
      <c r="K64" s="13" t="str">
        <f>_xll.BDH("AMZN US Equity","BS_OPTIONS_OUTSTANDING","FQ1 2001","FQ1 2001","Currency=USD","Period=FQ","BEST_FPERIOD_OVERRIDE=FQ","FILING_STATUS=OR","Sort=A","Dates=H","DateFormat=P","Fill=—","Direction=H","UseDPDF=Y")</f>
        <v>—</v>
      </c>
      <c r="L64" s="13" t="str">
        <f>_xll.BDH("AMZN US Equity","BS_OPTIONS_OUTSTANDING","FQ2 2001","FQ2 2001","Currency=USD","Period=FQ","BEST_FPERIOD_OVERRIDE=FQ","FILING_STATUS=OR","Sort=A","Dates=H","DateFormat=P","Fill=—","Direction=H","UseDPDF=Y")</f>
        <v>—</v>
      </c>
      <c r="M64" s="13" t="str">
        <f>_xll.BDH("AMZN US Equity","BS_OPTIONS_OUTSTANDING","FQ3 2001","FQ3 2001","Currency=USD","Period=FQ","BEST_FPERIOD_OVERRIDE=FQ","FILING_STATUS=OR","Sort=A","Dates=H","DateFormat=P","Fill=—","Direction=H","UseDPDF=Y")</f>
        <v>—</v>
      </c>
      <c r="N64" s="13" t="str">
        <f>_xll.BDH("AMZN US Equity","BS_OPTIONS_OUTSTANDING","FQ4 2001","FQ4 2001","Currency=USD","Period=FQ","BEST_FPERIOD_OVERRIDE=FQ","FILING_STATUS=OR","Sort=A","Dates=H","DateFormat=P","Fill=—","Direction=H","UseDPDF=Y")</f>
        <v>—</v>
      </c>
      <c r="O64" s="13" t="str">
        <f>_xll.BDH("AMZN US Equity","BS_OPTIONS_OUTSTANDING","FQ1 2002","FQ1 2002","Currency=USD","Period=FQ","BEST_FPERIOD_OVERRIDE=FQ","FILING_STATUS=OR","Sort=A","Dates=H","DateFormat=P","Fill=—","Direction=H","UseDPDF=Y")</f>
        <v>—</v>
      </c>
      <c r="P64" s="13" t="str">
        <f>_xll.BDH("AMZN US Equity","BS_OPTIONS_OUTSTANDING","FQ2 2002","FQ2 2002","Currency=USD","Period=FQ","BEST_FPERIOD_OVERRIDE=FQ","FILING_STATUS=OR","Sort=A","Dates=H","DateFormat=P","Fill=—","Direction=H","UseDPDF=Y")</f>
        <v>—</v>
      </c>
      <c r="Q64" s="13" t="str">
        <f>_xll.BDH("AMZN US Equity","BS_OPTIONS_OUTSTANDING","FQ3 2002","FQ3 2002","Currency=USD","Period=FQ","BEST_FPERIOD_OVERRIDE=FQ","FILING_STATUS=OR","Sort=A","Dates=H","DateFormat=P","Fill=—","Direction=H","UseDPDF=Y")</f>
        <v>—</v>
      </c>
      <c r="R64" s="13" t="str">
        <f>_xll.BDH("AMZN US Equity","BS_OPTIONS_OUTSTANDING","FQ4 2002","FQ4 2002","Currency=USD","Period=FQ","BEST_FPERIOD_OVERRIDE=FQ","FILING_STATUS=OR","Sort=A","Dates=H","DateFormat=P","Fill=—","Direction=H","UseDPDF=Y")</f>
        <v>—</v>
      </c>
      <c r="S64" s="13" t="str">
        <f>_xll.BDH("AMZN US Equity","BS_OPTIONS_OUTSTANDING","FQ1 2003","FQ1 2003","Currency=USD","Period=FQ","BEST_FPERIOD_OVERRIDE=FQ","FILING_STATUS=OR","Sort=A","Dates=H","DateFormat=P","Fill=—","Direction=H","UseDPDF=Y")</f>
        <v>—</v>
      </c>
      <c r="T64" s="13" t="str">
        <f>_xll.BDH("AMZN US Equity","BS_OPTIONS_OUTSTANDING","FQ2 2003","FQ2 2003","Currency=USD","Period=FQ","BEST_FPERIOD_OVERRIDE=FQ","FILING_STATUS=OR","Sort=A","Dates=H","DateFormat=P","Fill=—","Direction=H","UseDPDF=Y")</f>
        <v>—</v>
      </c>
      <c r="U64" s="13" t="str">
        <f>_xll.BDH("AMZN US Equity","BS_OPTIONS_OUTSTANDING","FQ3 2003","FQ3 2003","Currency=USD","Period=FQ","BEST_FPERIOD_OVERRIDE=FQ","FILING_STATUS=OR","Sort=A","Dates=H","DateFormat=P","Fill=—","Direction=H","UseDPDF=Y")</f>
        <v>—</v>
      </c>
      <c r="V64" s="13" t="str">
        <f>_xll.BDH("AMZN US Equity","BS_OPTIONS_OUTSTANDING","FQ4 2003","FQ4 2003","Currency=USD","Period=FQ","BEST_FPERIOD_OVERRIDE=FQ","FILING_STATUS=OR","Sort=A","Dates=H","DateFormat=P","Fill=—","Direction=H","UseDPDF=Y")</f>
        <v>—</v>
      </c>
      <c r="W64" s="13" t="str">
        <f>_xll.BDH("AMZN US Equity","BS_OPTIONS_OUTSTANDING","FQ1 2004","FQ1 2004","Currency=USD","Period=FQ","BEST_FPERIOD_OVERRIDE=FQ","FILING_STATUS=OR","Sort=A","Dates=H","DateFormat=P","Fill=—","Direction=H","UseDPDF=Y")</f>
        <v>—</v>
      </c>
      <c r="X64" s="13" t="str">
        <f>_xll.BDH("AMZN US Equity","BS_OPTIONS_OUTSTANDING","FQ2 2004","FQ2 2004","Currency=USD","Period=FQ","BEST_FPERIOD_OVERRIDE=FQ","FILING_STATUS=OR","Sort=A","Dates=H","DateFormat=P","Fill=—","Direction=H","UseDPDF=Y")</f>
        <v>—</v>
      </c>
      <c r="Y64" s="13" t="str">
        <f>_xll.BDH("AMZN US Equity","BS_OPTIONS_OUTSTANDING","FQ3 2004","FQ3 2004","Currency=USD","Period=FQ","BEST_FPERIOD_OVERRIDE=FQ","FILING_STATUS=OR","Sort=A","Dates=H","DateFormat=P","Fill=—","Direction=H","UseDPDF=Y")</f>
        <v>—</v>
      </c>
      <c r="Z64" s="13" t="str">
        <f>_xll.BDH("AMZN US Equity","BS_OPTIONS_OUTSTANDING","FQ4 2004","FQ4 2004","Currency=USD","Period=FQ","BEST_FPERIOD_OVERRIDE=FQ","FILING_STATUS=OR","Sort=A","Dates=H","DateFormat=P","Fill=—","Direction=H","UseDPDF=Y")</f>
        <v>—</v>
      </c>
      <c r="AA64" s="13">
        <f>_xll.BDH("AMZN US Equity","BS_OPTIONS_OUTSTANDING","FQ1 2005","FQ1 2005","Currency=USD","Period=FQ","BEST_FPERIOD_OVERRIDE=FQ","FILING_STATUS=OR","Sort=A","Dates=H","DateFormat=P","Fill=—","Direction=H","UseDPDF=Y")</f>
        <v>17</v>
      </c>
      <c r="AB64" s="13">
        <f>_xll.BDH("AMZN US Equity","BS_OPTIONS_OUTSTANDING","FQ2 2005","FQ2 2005","Currency=USD","Period=FQ","BEST_FPERIOD_OVERRIDE=FQ","FILING_STATUS=OR","Sort=A","Dates=H","DateFormat=P","Fill=—","Direction=H","UseDPDF=Y")</f>
        <v>16</v>
      </c>
      <c r="AC64" s="13">
        <f>_xll.BDH("AMZN US Equity","BS_OPTIONS_OUTSTANDING","FQ3 2005","FQ3 2005","Currency=USD","Period=FQ","BEST_FPERIOD_OVERRIDE=FQ","FILING_STATUS=OR","Sort=A","Dates=H","DateFormat=P","Fill=—","Direction=H","UseDPDF=Y")</f>
        <v>13.7</v>
      </c>
      <c r="AD64" s="13">
        <f>_xll.BDH("AMZN US Equity","BS_OPTIONS_OUTSTANDING","FQ4 2005","FQ4 2005","Currency=USD","Period=FQ","BEST_FPERIOD_OVERRIDE=FQ","FILING_STATUS=OR","Sort=A","Dates=H","DateFormat=P","Fill=—","Direction=H","UseDPDF=Y")</f>
        <v>11.8</v>
      </c>
      <c r="AE64" s="13" t="str">
        <f>_xll.BDH("AMZN US Equity","BS_OPTIONS_OUTSTANDING","FQ1 2006","FQ1 2006","Currency=USD","Period=FQ","BEST_FPERIOD_OVERRIDE=FQ","FILING_STATUS=OR","Sort=A","Dates=H","DateFormat=P","Fill=—","Direction=H","UseDPDF=Y")</f>
        <v>—</v>
      </c>
      <c r="AF64" s="13" t="str">
        <f>_xll.BDH("AMZN US Equity","BS_OPTIONS_OUTSTANDING","FQ2 2006","FQ2 2006","Currency=USD","Period=FQ","BEST_FPERIOD_OVERRIDE=FQ","FILING_STATUS=OR","Sort=A","Dates=H","DateFormat=P","Fill=—","Direction=H","UseDPDF=Y")</f>
        <v>—</v>
      </c>
      <c r="AG64" s="13" t="str">
        <f>_xll.BDH("AMZN US Equity","BS_OPTIONS_OUTSTANDING","FQ3 2006","FQ3 2006","Currency=USD","Period=FQ","BEST_FPERIOD_OVERRIDE=FQ","FILING_STATUS=OR","Sort=A","Dates=H","DateFormat=P","Fill=—","Direction=H","UseDPDF=Y")</f>
        <v>—</v>
      </c>
      <c r="AH64" s="13">
        <f>_xll.BDH("AMZN US Equity","BS_OPTIONS_OUTSTANDING","FQ4 2006","FQ4 2006","Currency=USD","Period=FQ","BEST_FPERIOD_OVERRIDE=FQ","FILING_STATUS=OR","Sort=A","Dates=H","DateFormat=P","Fill=—","Direction=H","UseDPDF=Y")</f>
        <v>7.4</v>
      </c>
      <c r="AI64" s="13" t="str">
        <f>_xll.BDH("AMZN US Equity","BS_OPTIONS_OUTSTANDING","FQ1 2007","FQ1 2007","Currency=USD","Period=FQ","BEST_FPERIOD_OVERRIDE=FQ","FILING_STATUS=OR","Sort=A","Dates=H","DateFormat=P","Fill=—","Direction=H","UseDPDF=Y")</f>
        <v>—</v>
      </c>
      <c r="AJ64" s="13" t="str">
        <f>_xll.BDH("AMZN US Equity","BS_OPTIONS_OUTSTANDING","FQ2 2007","FQ2 2007","Currency=USD","Period=FQ","BEST_FPERIOD_OVERRIDE=FQ","FILING_STATUS=OR","Sort=A","Dates=H","DateFormat=P","Fill=—","Direction=H","UseDPDF=Y")</f>
        <v>—</v>
      </c>
      <c r="AK64" s="13" t="str">
        <f>_xll.BDH("AMZN US Equity","BS_OPTIONS_OUTSTANDING","FQ3 2007","FQ3 2007","Currency=USD","Period=FQ","BEST_FPERIOD_OVERRIDE=FQ","FILING_STATUS=OR","Sort=A","Dates=H","DateFormat=P","Fill=—","Direction=H","UseDPDF=Y")</f>
        <v>—</v>
      </c>
      <c r="AL64" s="13" t="str">
        <f>_xll.BDH("AMZN US Equity","BS_OPTIONS_OUTSTANDING","FQ4 2007","FQ4 2007","Currency=USD","Period=FQ","BEST_FPERIOD_OVERRIDE=FQ","FILING_STATUS=OR","Sort=A","Dates=H","DateFormat=P","Fill=—","Direction=H","UseDPDF=Y")</f>
        <v>—</v>
      </c>
      <c r="AM64" s="13" t="str">
        <f>_xll.BDH("AMZN US Equity","BS_OPTIONS_OUTSTANDING","FQ1 2008","FQ1 2008","Currency=USD","Period=FQ","BEST_FPERIOD_OVERRIDE=FQ","FILING_STATUS=OR","Sort=A","Dates=H","DateFormat=P","Fill=—","Direction=H","UseDPDF=Y")</f>
        <v>—</v>
      </c>
      <c r="AN64" s="13" t="str">
        <f>_xll.BDH("AMZN US Equity","BS_OPTIONS_OUTSTANDING","FQ2 2008","FQ2 2008","Currency=USD","Period=FQ","BEST_FPERIOD_OVERRIDE=FQ","FILING_STATUS=OR","Sort=A","Dates=H","DateFormat=P","Fill=—","Direction=H","UseDPDF=Y")</f>
        <v>—</v>
      </c>
      <c r="AO64" s="13" t="str">
        <f>_xll.BDH("AMZN US Equity","BS_OPTIONS_OUTSTANDING","FQ3 2008","FQ3 2008","Currency=USD","Period=FQ","BEST_FPERIOD_OVERRIDE=FQ","FILING_STATUS=OR","Sort=A","Dates=H","DateFormat=P","Fill=—","Direction=H","UseDPDF=Y")</f>
        <v>—</v>
      </c>
      <c r="AP64" s="13" t="str">
        <f>_xll.BDH("AMZN US Equity","BS_OPTIONS_OUTSTANDING","FQ4 2008","FQ4 2008","Currency=USD","Period=FQ","BEST_FPERIOD_OVERRIDE=FQ","FILING_STATUS=OR","Sort=A","Dates=H","DateFormat=P","Fill=—","Direction=H","UseDPDF=Y")</f>
        <v>—</v>
      </c>
    </row>
    <row r="65" spans="1:42" x14ac:dyDescent="0.25">
      <c r="A65" s="10" t="s">
        <v>286</v>
      </c>
      <c r="B65" s="10" t="s">
        <v>287</v>
      </c>
      <c r="C65" s="13">
        <f>_xll.BDH("AMZN US Equity","NET_DEBT","FQ4 1998","FQ4 1998","Currency=USD","Period=FQ","BEST_FPERIOD_OVERRIDE=FQ","FILING_STATUS=OR","SCALING_FORMAT=MLN","Sort=A","Dates=H","DateFormat=P","Fill=—","Direction=H","UseDPDF=Y")</f>
        <v>-24.620999999999999</v>
      </c>
      <c r="D65" s="13">
        <f>_xll.BDH("AMZN US Equity","NET_DEBT","FQ1 1999","FQ1 1999","Currency=USD","Period=FQ","BEST_FPERIOD_OVERRIDE=FQ","FILING_STATUS=OR","SCALING_FORMAT=MLN","Sort=A","Dates=H","DateFormat=P","Fill=—","Direction=H","UseDPDF=Y")</f>
        <v>98.082999999999998</v>
      </c>
      <c r="E65" s="13">
        <f>_xll.BDH("AMZN US Equity","NET_DEBT","FQ2 1999","FQ2 1999","Currency=USD","Period=FQ","BEST_FPERIOD_OVERRIDE=FQ","FILING_STATUS=OR","SCALING_FORMAT=MLN","Sort=A","Dates=H","DateFormat=P","Fill=—","Direction=H","UseDPDF=Y")</f>
        <v>314.86</v>
      </c>
      <c r="F65" s="13">
        <f>_xll.BDH("AMZN US Equity","NET_DEBT","FQ3 1999","FQ3 1999","Currency=USD","Period=FQ","BEST_FPERIOD_OVERRIDE=FQ","FILING_STATUS=OR","SCALING_FORMAT=MLN","Sort=A","Dates=H","DateFormat=P","Fill=—","Direction=H","UseDPDF=Y")</f>
        <v>569.29399999999998</v>
      </c>
      <c r="G65" s="13">
        <f>_xll.BDH("AMZN US Equity","NET_DEBT","FQ4 1999","FQ4 1999","Currency=USD","Period=FQ","BEST_FPERIOD_OVERRIDE=FQ","FILING_STATUS=OR","SCALING_FORMAT=MLN","Sort=A","Dates=H","DateFormat=P","Fill=—","Direction=H","UseDPDF=Y")</f>
        <v>774.47199999999998</v>
      </c>
      <c r="H65" s="13">
        <f>_xll.BDH("AMZN US Equity","NET_DEBT","FQ1 2000","FQ1 2000","Currency=USD","Period=FQ","BEST_FPERIOD_OVERRIDE=FQ","FILING_STATUS=OR","SCALING_FORMAT=MLN","Sort=A","Dates=H","DateFormat=P","Fill=—","Direction=H","UseDPDF=Y")</f>
        <v>1144.0630000000001</v>
      </c>
      <c r="I65" s="13">
        <f>_xll.BDH("AMZN US Equity","NET_DEBT","FQ3 2000","FQ3 2000","Currency=USD","Period=FQ","BEST_FPERIOD_OVERRIDE=FQ","FILING_STATUS=OR","SCALING_FORMAT=MLN","Sort=A","Dates=H","DateFormat=P","Fill=—","Direction=H","UseDPDF=Y")</f>
        <v>1199.886</v>
      </c>
      <c r="J65" s="13">
        <f>_xll.BDH("AMZN US Equity","NET_DEBT","FQ4 2000","FQ4 2000","Currency=USD","Period=FQ","BEST_FPERIOD_OVERRIDE=FQ","FILING_STATUS=OR","SCALING_FORMAT=MLN","Sort=A","Dates=H","DateFormat=P","Fill=—","Direction=H","UseDPDF=Y")</f>
        <v>1043.5191</v>
      </c>
      <c r="K65" s="13">
        <f>_xll.BDH("AMZN US Equity","NET_DEBT","FQ1 2001","FQ1 2001","Currency=USD","Period=FQ","BEST_FPERIOD_OVERRIDE=FQ","FILING_STATUS=OR","SCALING_FORMAT=MLN","Sort=A","Dates=H","DateFormat=P","Fill=—","Direction=H","UseDPDF=Y")</f>
        <v>1495.1880000000001</v>
      </c>
      <c r="L65" s="13">
        <f>_xll.BDH("AMZN US Equity","NET_DEBT","FQ2 2001","FQ2 2001","Currency=USD","Period=FQ","BEST_FPERIOD_OVERRIDE=FQ","FILING_STATUS=OR","SCALING_FORMAT=MLN","Sort=A","Dates=H","DateFormat=P","Fill=—","Direction=H","UseDPDF=Y")</f>
        <v>1536.095</v>
      </c>
      <c r="M65" s="13">
        <f>_xll.BDH("AMZN US Equity","NET_DEBT","FQ3 2001","FQ3 2001","Currency=USD","Period=FQ","BEST_FPERIOD_OVERRIDE=FQ","FILING_STATUS=OR","SCALING_FORMAT=MLN","Sort=A","Dates=H","DateFormat=P","Fill=—","Direction=H","UseDPDF=Y")</f>
        <v>1520.1179999999999</v>
      </c>
      <c r="N65" s="13">
        <f>_xll.BDH("AMZN US Equity","NET_DEBT","FQ4 2001","FQ4 2001","Currency=USD","Period=FQ","BEST_FPERIOD_OVERRIDE=FQ","FILING_STATUS=OR","SCALING_FORMAT=MLN","Sort=A","Dates=H","DateFormat=P","Fill=—","Direction=H","UseDPDF=Y")</f>
        <v>1174.5400999999999</v>
      </c>
      <c r="O65" s="13">
        <f>_xll.BDH("AMZN US Equity","NET_DEBT","FQ1 2002","FQ1 2002","Currency=USD","Period=FQ","BEST_FPERIOD_OVERRIDE=FQ","FILING_STATUS=OR","SCALING_FORMAT=MLN","Sort=A","Dates=H","DateFormat=P","Fill=—","Direction=H","UseDPDF=Y")</f>
        <v>1420.973</v>
      </c>
      <c r="P65" s="13">
        <f>_xll.BDH("AMZN US Equity","NET_DEBT","FQ2 2002","FQ2 2002","Currency=USD","Period=FQ","BEST_FPERIOD_OVERRIDE=FQ","FILING_STATUS=OR","SCALING_FORMAT=MLN","Sort=A","Dates=H","DateFormat=P","Fill=—","Direction=H","UseDPDF=Y")</f>
        <v>1409.2529999999999</v>
      </c>
      <c r="Q65" s="13">
        <f>_xll.BDH("AMZN US Equity","NET_DEBT","FQ3 2002","FQ3 2002","Currency=USD","Period=FQ","BEST_FPERIOD_OVERRIDE=FQ","FILING_STATUS=OR","SCALING_FORMAT=MLN","Sort=A","Dates=H","DateFormat=P","Fill=—","Direction=H","UseDPDF=Y")</f>
        <v>1412.1780000000001</v>
      </c>
      <c r="R65" s="13">
        <f>_xll.BDH("AMZN US Equity","NET_DEBT","FQ4 2002","FQ4 2002","Currency=USD","Period=FQ","BEST_FPERIOD_OVERRIDE=FQ","FILING_STATUS=OR","SCALING_FORMAT=MLN","Sort=A","Dates=H","DateFormat=P","Fill=—","Direction=H","UseDPDF=Y")</f>
        <v>989.65390000000002</v>
      </c>
      <c r="S65" s="13">
        <f>_xll.BDH("AMZN US Equity","NET_DEBT","FQ1 2003","FQ1 2003","Currency=USD","Period=FQ","BEST_FPERIOD_OVERRIDE=FQ","FILING_STATUS=OR","SCALING_FORMAT=MLN","Sort=A","Dates=H","DateFormat=P","Fill=—","Direction=H","UseDPDF=Y")</f>
        <v>1224.944</v>
      </c>
      <c r="T65" s="13">
        <f>_xll.BDH("AMZN US Equity","NET_DEBT","FQ2 2003","FQ2 2003","Currency=USD","Period=FQ","BEST_FPERIOD_OVERRIDE=FQ","FILING_STATUS=OR","SCALING_FORMAT=MLN","Sort=A","Dates=H","DateFormat=P","Fill=—","Direction=H","UseDPDF=Y")</f>
        <v>1093.6768999999999</v>
      </c>
      <c r="U65" s="13">
        <f>_xll.BDH("AMZN US Equity","NET_DEBT","FQ3 2003","FQ3 2003","Currency=USD","Period=FQ","BEST_FPERIOD_OVERRIDE=FQ","FILING_STATUS=OR","SCALING_FORMAT=MLN","Sort=A","Dates=H","DateFormat=P","Fill=—","Direction=H","UseDPDF=Y")</f>
        <v>1022.367</v>
      </c>
      <c r="V65" s="13">
        <f>_xll.BDH("AMZN US Equity","NET_DEBT","FQ4 2003","FQ4 2003","Currency=USD","Period=FQ","BEST_FPERIOD_OVERRIDE=FQ","FILING_STATUS=OR","SCALING_FORMAT=MLN","Sort=A","Dates=H","DateFormat=P","Fill=—","Direction=H","UseDPDF=Y")</f>
        <v>554.83199999999999</v>
      </c>
      <c r="W65" s="13">
        <f>_xll.BDH("AMZN US Equity","NET_DEBT","FQ1 2004","FQ1 2004","Currency=USD","Period=FQ","BEST_FPERIOD_OVERRIDE=FQ","FILING_STATUS=OR","SCALING_FORMAT=MLN","Sort=A","Dates=H","DateFormat=P","Fill=—","Direction=H","UseDPDF=Y")</f>
        <v>782.03200000000004</v>
      </c>
      <c r="X65" s="13">
        <f>_xll.BDH("AMZN US Equity","NET_DEBT","FQ2 2004","FQ2 2004","Currency=USD","Period=FQ","BEST_FPERIOD_OVERRIDE=FQ","FILING_STATUS=OR","SCALING_FORMAT=MLN","Sort=A","Dates=H","DateFormat=P","Fill=—","Direction=H","UseDPDF=Y")</f>
        <v>613.66499999999996</v>
      </c>
      <c r="Y65" s="13">
        <f>_xll.BDH("AMZN US Equity","NET_DEBT","FQ3 2004","FQ3 2004","Currency=USD","Period=FQ","BEST_FPERIOD_OVERRIDE=FQ","FILING_STATUS=OR","SCALING_FORMAT=MLN","Sort=A","Dates=H","DateFormat=P","Fill=—","Direction=H","UseDPDF=Y")</f>
        <v>597.47410000000002</v>
      </c>
      <c r="Z65" s="13">
        <f>_xll.BDH("AMZN US Equity","NET_DEBT","FQ4 2004","FQ4 2004","Currency=USD","Period=FQ","BEST_FPERIOD_OVERRIDE=FQ","FILING_STATUS=OR","SCALING_FORMAT=MLN","Sort=A","Dates=H","DateFormat=P","Fill=—","Direction=H","UseDPDF=Y")</f>
        <v>78.501000000000005</v>
      </c>
      <c r="AA65" s="13">
        <f>_xll.BDH("AMZN US Equity","NET_DEBT","FQ1 2005","FQ1 2005","Currency=USD","Period=FQ","BEST_FPERIOD_OVERRIDE=FQ","FILING_STATUS=OR","SCALING_FORMAT=MLN","Sort=A","Dates=H","DateFormat=P","Fill=—","Direction=H","UseDPDF=Y")</f>
        <v>412</v>
      </c>
      <c r="AB65" s="13">
        <f>_xll.BDH("AMZN US Equity","NET_DEBT","FQ2 2005","FQ2 2005","Currency=USD","Period=FQ","BEST_FPERIOD_OVERRIDE=FQ","FILING_STATUS=OR","SCALING_FORMAT=MLN","Sort=A","Dates=H","DateFormat=P","Fill=—","Direction=H","UseDPDF=Y")</f>
        <v>204</v>
      </c>
      <c r="AC65" s="13">
        <f>_xll.BDH("AMZN US Equity","NET_DEBT","FQ3 2005","FQ3 2005","Currency=USD","Period=FQ","BEST_FPERIOD_OVERRIDE=FQ","FILING_STATUS=OR","SCALING_FORMAT=MLN","Sort=A","Dates=H","DateFormat=P","Fill=—","Direction=H","UseDPDF=Y")</f>
        <v>111</v>
      </c>
      <c r="AD65" s="13">
        <f>_xll.BDH("AMZN US Equity","NET_DEBT","FQ4 2005","FQ4 2005","Currency=USD","Period=FQ","BEST_FPERIOD_OVERRIDE=FQ","FILING_STATUS=OR","SCALING_FORMAT=MLN","Sort=A","Dates=H","DateFormat=P","Fill=—","Direction=H","UseDPDF=Y")</f>
        <v>-474</v>
      </c>
      <c r="AE65" s="13">
        <f>_xll.BDH("AMZN US Equity","NET_DEBT","FQ1 2006","FQ1 2006","Currency=USD","Period=FQ","BEST_FPERIOD_OVERRIDE=FQ","FILING_STATUS=OR","SCALING_FORMAT=MLN","Sort=A","Dates=H","DateFormat=P","Fill=—","Direction=H","UseDPDF=Y")</f>
        <v>-73</v>
      </c>
      <c r="AF65" s="13">
        <f>_xll.BDH("AMZN US Equity","NET_DEBT","FQ2 2006","FQ2 2006","Currency=USD","Period=FQ","BEST_FPERIOD_OVERRIDE=FQ","FILING_STATUS=OR","SCALING_FORMAT=MLN","Sort=A","Dates=H","DateFormat=P","Fill=—","Direction=H","UseDPDF=Y")</f>
        <v>-52</v>
      </c>
      <c r="AG65" s="13">
        <f>_xll.BDH("AMZN US Equity","NET_DEBT","FQ3 2006","FQ3 2006","Currency=USD","Period=FQ","BEST_FPERIOD_OVERRIDE=FQ","FILING_STATUS=OR","SCALING_FORMAT=MLN","Sort=A","Dates=H","DateFormat=P","Fill=—","Direction=H","UseDPDF=Y")</f>
        <v>155</v>
      </c>
      <c r="AH65" s="13">
        <f>_xll.BDH("AMZN US Equity","NET_DEBT","FQ4 2006","FQ4 2006","Currency=USD","Period=FQ","BEST_FPERIOD_OVERRIDE=FQ","FILING_STATUS=OR","SCALING_FORMAT=MLN","Sort=A","Dates=H","DateFormat=P","Fill=—","Direction=H","UseDPDF=Y")</f>
        <v>-721</v>
      </c>
      <c r="AI65" s="13">
        <f>_xll.BDH("AMZN US Equity","NET_DEBT","FQ1 2007","FQ1 2007","Currency=USD","Period=FQ","BEST_FPERIOD_OVERRIDE=FQ","FILING_STATUS=OR","SCALING_FORMAT=MLN","Sort=A","Dates=H","DateFormat=P","Fill=—","Direction=H","UseDPDF=Y")</f>
        <v>-169</v>
      </c>
      <c r="AJ65" s="13">
        <f>_xll.BDH("AMZN US Equity","NET_DEBT","FQ2 2007","FQ2 2007","Currency=USD","Period=FQ","BEST_FPERIOD_OVERRIDE=FQ","FILING_STATUS=OR","SCALING_FORMAT=MLN","Sort=A","Dates=H","DateFormat=P","Fill=—","Direction=H","UseDPDF=Y")</f>
        <v>-393</v>
      </c>
      <c r="AK65" s="13">
        <f>_xll.BDH("AMZN US Equity","NET_DEBT","FQ3 2007","FQ3 2007","Currency=USD","Period=FQ","BEST_FPERIOD_OVERRIDE=FQ","FILING_STATUS=OR","SCALING_FORMAT=MLN","Sort=A","Dates=H","DateFormat=P","Fill=—","Direction=H","UseDPDF=Y")</f>
        <v>-636</v>
      </c>
      <c r="AL65" s="13">
        <f>_xll.BDH("AMZN US Equity","NET_DEBT","FQ4 2007","FQ4 2007","Currency=USD","Period=FQ","BEST_FPERIOD_OVERRIDE=FQ","FILING_STATUS=OR","SCALING_FORMAT=MLN","Sort=A","Dates=H","DateFormat=P","Fill=—","Direction=H","UseDPDF=Y")</f>
        <v>-1787</v>
      </c>
      <c r="AM65" s="13">
        <f>_xll.BDH("AMZN US Equity","NET_DEBT","FQ1 2008","FQ1 2008","Currency=USD","Period=FQ","BEST_FPERIOD_OVERRIDE=FQ","FILING_STATUS=OR","SCALING_FORMAT=MLN","Sort=A","Dates=H","DateFormat=P","Fill=—","Direction=H","UseDPDF=Y")</f>
        <v>-778</v>
      </c>
      <c r="AN65" s="13">
        <f>_xll.BDH("AMZN US Equity","NET_DEBT","FQ2 2008","FQ2 2008","Currency=USD","Period=FQ","BEST_FPERIOD_OVERRIDE=FQ","FILING_STATUS=OR","SCALING_FORMAT=MLN","Sort=A","Dates=H","DateFormat=P","Fill=—","Direction=H","UseDPDF=Y")</f>
        <v>-1506</v>
      </c>
      <c r="AO65" s="13">
        <f>_xll.BDH("AMZN US Equity","NET_DEBT","FQ3 2008","FQ3 2008","Currency=USD","Period=FQ","BEST_FPERIOD_OVERRIDE=FQ","FILING_STATUS=OR","SCALING_FORMAT=MLN","Sort=A","Dates=H","DateFormat=P","Fill=—","Direction=H","UseDPDF=Y")</f>
        <v>-1889</v>
      </c>
      <c r="AP65" s="13">
        <f>_xll.BDH("AMZN US Equity","NET_DEBT","FQ4 2008","FQ4 2008","Currency=USD","Period=FQ","BEST_FPERIOD_OVERRIDE=FQ","FILING_STATUS=OR","SCALING_FORMAT=MLN","Sort=A","Dates=H","DateFormat=P","Fill=—","Direction=H","UseDPDF=Y")</f>
        <v>-3063</v>
      </c>
    </row>
    <row r="66" spans="1:42" x14ac:dyDescent="0.25">
      <c r="A66" s="10" t="s">
        <v>288</v>
      </c>
      <c r="B66" s="10" t="s">
        <v>289</v>
      </c>
      <c r="C66" s="14">
        <f>_xll.BDH("AMZN US Equity","NET_DEBT_TO_SHRHLDR_EQTY","FQ4 1998","FQ4 1998","Currency=USD","Period=FQ","BEST_FPERIOD_OVERRIDE=FQ","FILING_STATUS=OR","Sort=A","Dates=H","DateFormat=P","Fill=—","Direction=H","UseDPDF=Y")</f>
        <v>-17.7455</v>
      </c>
      <c r="D66" s="14">
        <f>_xll.BDH("AMZN US Equity","NET_DEBT_TO_SHRHLDR_EQTY","FQ1 1999","FQ1 1999","Currency=USD","Period=FQ","BEST_FPERIOD_OVERRIDE=FQ","FILING_STATUS=OR","Sort=A","Dates=H","DateFormat=P","Fill=—","Direction=H","UseDPDF=Y")</f>
        <v>126.4983</v>
      </c>
      <c r="E66" s="14">
        <f>_xll.BDH("AMZN US Equity","NET_DEBT_TO_SHRHLDR_EQTY","FQ2 1999","FQ2 1999","Currency=USD","Period=FQ","BEST_FPERIOD_OVERRIDE=FQ","FILING_STATUS=OR","Sort=A","Dates=H","DateFormat=P","Fill=—","Direction=H","UseDPDF=Y")</f>
        <v>55.1374</v>
      </c>
      <c r="F66" s="14">
        <f>_xll.BDH("AMZN US Equity","NET_DEBT_TO_SHRHLDR_EQTY","FQ3 1999","FQ3 1999","Currency=USD","Period=FQ","BEST_FPERIOD_OVERRIDE=FQ","FILING_STATUS=OR","Sort=A","Dates=H","DateFormat=P","Fill=—","Direction=H","UseDPDF=Y")</f>
        <v>135.57040000000001</v>
      </c>
      <c r="G66" s="14">
        <f>_xll.BDH("AMZN US Equity","NET_DEBT_TO_SHRHLDR_EQTY","FQ4 1999","FQ4 1999","Currency=USD","Period=FQ","BEST_FPERIOD_OVERRIDE=FQ","FILING_STATUS=OR","Sort=A","Dates=H","DateFormat=P","Fill=—","Direction=H","UseDPDF=Y")</f>
        <v>290.851</v>
      </c>
      <c r="H66" s="14">
        <f>_xll.BDH("AMZN US Equity","NET_DEBT_TO_SHRHLDR_EQTY","FQ1 2000","FQ1 2000","Currency=USD","Period=FQ","BEST_FPERIOD_OVERRIDE=FQ","FILING_STATUS=OR","Sort=A","Dates=H","DateFormat=P","Fill=—","Direction=H","UseDPDF=Y")</f>
        <v>4466.0303999999996</v>
      </c>
      <c r="I66" s="14" t="str">
        <f>_xll.BDH("AMZN US Equity","NET_DEBT_TO_SHRHLDR_EQTY","FQ3 2000","FQ3 2000","Currency=USD","Period=FQ","BEST_FPERIOD_OVERRIDE=FQ","FILING_STATUS=OR","Sort=A","Dates=H","DateFormat=P","Fill=—","Direction=H","UseDPDF=Y")</f>
        <v>—</v>
      </c>
      <c r="J66" s="14" t="str">
        <f>_xll.BDH("AMZN US Equity","NET_DEBT_TO_SHRHLDR_EQTY","FQ4 2000","FQ4 2000","Currency=USD","Period=FQ","BEST_FPERIOD_OVERRIDE=FQ","FILING_STATUS=OR","Sort=A","Dates=H","DateFormat=P","Fill=—","Direction=H","UseDPDF=Y")</f>
        <v>—</v>
      </c>
      <c r="K66" s="14" t="str">
        <f>_xll.BDH("AMZN US Equity","NET_DEBT_TO_SHRHLDR_EQTY","FQ1 2001","FQ1 2001","Currency=USD","Period=FQ","BEST_FPERIOD_OVERRIDE=FQ","FILING_STATUS=OR","Sort=A","Dates=H","DateFormat=P","Fill=—","Direction=H","UseDPDF=Y")</f>
        <v>—</v>
      </c>
      <c r="L66" s="14" t="str">
        <f>_xll.BDH("AMZN US Equity","NET_DEBT_TO_SHRHLDR_EQTY","FQ2 2001","FQ2 2001","Currency=USD","Period=FQ","BEST_FPERIOD_OVERRIDE=FQ","FILING_STATUS=OR","Sort=A","Dates=H","DateFormat=P","Fill=—","Direction=H","UseDPDF=Y")</f>
        <v>—</v>
      </c>
      <c r="M66" s="14" t="str">
        <f>_xll.BDH("AMZN US Equity","NET_DEBT_TO_SHRHLDR_EQTY","FQ3 2001","FQ3 2001","Currency=USD","Period=FQ","BEST_FPERIOD_OVERRIDE=FQ","FILING_STATUS=OR","Sort=A","Dates=H","DateFormat=P","Fill=—","Direction=H","UseDPDF=Y")</f>
        <v>—</v>
      </c>
      <c r="N66" s="14" t="str">
        <f>_xll.BDH("AMZN US Equity","NET_DEBT_TO_SHRHLDR_EQTY","FQ4 2001","FQ4 2001","Currency=USD","Period=FQ","BEST_FPERIOD_OVERRIDE=FQ","FILING_STATUS=OR","Sort=A","Dates=H","DateFormat=P","Fill=—","Direction=H","UseDPDF=Y")</f>
        <v>—</v>
      </c>
      <c r="O66" s="14" t="str">
        <f>_xll.BDH("AMZN US Equity","NET_DEBT_TO_SHRHLDR_EQTY","FQ1 2002","FQ1 2002","Currency=USD","Period=FQ","BEST_FPERIOD_OVERRIDE=FQ","FILING_STATUS=OR","Sort=A","Dates=H","DateFormat=P","Fill=—","Direction=H","UseDPDF=Y")</f>
        <v>—</v>
      </c>
      <c r="P66" s="14" t="str">
        <f>_xll.BDH("AMZN US Equity","NET_DEBT_TO_SHRHLDR_EQTY","FQ2 2002","FQ2 2002","Currency=USD","Period=FQ","BEST_FPERIOD_OVERRIDE=FQ","FILING_STATUS=OR","Sort=A","Dates=H","DateFormat=P","Fill=—","Direction=H","UseDPDF=Y")</f>
        <v>—</v>
      </c>
      <c r="Q66" s="14" t="str">
        <f>_xll.BDH("AMZN US Equity","NET_DEBT_TO_SHRHLDR_EQTY","FQ3 2002","FQ3 2002","Currency=USD","Period=FQ","BEST_FPERIOD_OVERRIDE=FQ","FILING_STATUS=OR","Sort=A","Dates=H","DateFormat=P","Fill=—","Direction=H","UseDPDF=Y")</f>
        <v>—</v>
      </c>
      <c r="R66" s="14" t="str">
        <f>_xll.BDH("AMZN US Equity","NET_DEBT_TO_SHRHLDR_EQTY","FQ4 2002","FQ4 2002","Currency=USD","Period=FQ","BEST_FPERIOD_OVERRIDE=FQ","FILING_STATUS=OR","Sort=A","Dates=H","DateFormat=P","Fill=—","Direction=H","UseDPDF=Y")</f>
        <v>—</v>
      </c>
      <c r="S66" s="14" t="str">
        <f>_xll.BDH("AMZN US Equity","NET_DEBT_TO_SHRHLDR_EQTY","FQ1 2003","FQ1 2003","Currency=USD","Period=FQ","BEST_FPERIOD_OVERRIDE=FQ","FILING_STATUS=OR","Sort=A","Dates=H","DateFormat=P","Fill=—","Direction=H","UseDPDF=Y")</f>
        <v>—</v>
      </c>
      <c r="T66" s="14" t="str">
        <f>_xll.BDH("AMZN US Equity","NET_DEBT_TO_SHRHLDR_EQTY","FQ2 2003","FQ2 2003","Currency=USD","Period=FQ","BEST_FPERIOD_OVERRIDE=FQ","FILING_STATUS=OR","Sort=A","Dates=H","DateFormat=P","Fill=—","Direction=H","UseDPDF=Y")</f>
        <v>—</v>
      </c>
      <c r="U66" s="14" t="str">
        <f>_xll.BDH("AMZN US Equity","NET_DEBT_TO_SHRHLDR_EQTY","FQ3 2003","FQ3 2003","Currency=USD","Period=FQ","BEST_FPERIOD_OVERRIDE=FQ","FILING_STATUS=OR","Sort=A","Dates=H","DateFormat=P","Fill=—","Direction=H","UseDPDF=Y")</f>
        <v>—</v>
      </c>
      <c r="V66" s="14" t="str">
        <f>_xll.BDH("AMZN US Equity","NET_DEBT_TO_SHRHLDR_EQTY","FQ4 2003","FQ4 2003","Currency=USD","Period=FQ","BEST_FPERIOD_OVERRIDE=FQ","FILING_STATUS=OR","Sort=A","Dates=H","DateFormat=P","Fill=—","Direction=H","UseDPDF=Y")</f>
        <v>—</v>
      </c>
      <c r="W66" s="14" t="str">
        <f>_xll.BDH("AMZN US Equity","NET_DEBT_TO_SHRHLDR_EQTY","FQ1 2004","FQ1 2004","Currency=USD","Period=FQ","BEST_FPERIOD_OVERRIDE=FQ","FILING_STATUS=OR","Sort=A","Dates=H","DateFormat=P","Fill=—","Direction=H","UseDPDF=Y")</f>
        <v>—</v>
      </c>
      <c r="X66" s="14" t="str">
        <f>_xll.BDH("AMZN US Equity","NET_DEBT_TO_SHRHLDR_EQTY","FQ2 2004","FQ2 2004","Currency=USD","Period=FQ","BEST_FPERIOD_OVERRIDE=FQ","FILING_STATUS=OR","Sort=A","Dates=H","DateFormat=P","Fill=—","Direction=H","UseDPDF=Y")</f>
        <v>—</v>
      </c>
      <c r="Y66" s="14" t="str">
        <f>_xll.BDH("AMZN US Equity","NET_DEBT_TO_SHRHLDR_EQTY","FQ3 2004","FQ3 2004","Currency=USD","Period=FQ","BEST_FPERIOD_OVERRIDE=FQ","FILING_STATUS=OR","Sort=A","Dates=H","DateFormat=P","Fill=—","Direction=H","UseDPDF=Y")</f>
        <v>—</v>
      </c>
      <c r="Z66" s="14" t="str">
        <f>_xll.BDH("AMZN US Equity","NET_DEBT_TO_SHRHLDR_EQTY","FQ4 2004","FQ4 2004","Currency=USD","Period=FQ","BEST_FPERIOD_OVERRIDE=FQ","FILING_STATUS=OR","Sort=A","Dates=H","DateFormat=P","Fill=—","Direction=H","UseDPDF=Y")</f>
        <v>—</v>
      </c>
      <c r="AA66" s="14" t="str">
        <f>_xll.BDH("AMZN US Equity","NET_DEBT_TO_SHRHLDR_EQTY","FQ1 2005","FQ1 2005","Currency=USD","Period=FQ","BEST_FPERIOD_OVERRIDE=FQ","FILING_STATUS=OR","Sort=A","Dates=H","DateFormat=P","Fill=—","Direction=H","UseDPDF=Y")</f>
        <v>—</v>
      </c>
      <c r="AB66" s="14" t="str">
        <f>_xll.BDH("AMZN US Equity","NET_DEBT_TO_SHRHLDR_EQTY","FQ2 2005","FQ2 2005","Currency=USD","Period=FQ","BEST_FPERIOD_OVERRIDE=FQ","FILING_STATUS=OR","Sort=A","Dates=H","DateFormat=P","Fill=—","Direction=H","UseDPDF=Y")</f>
        <v>—</v>
      </c>
      <c r="AC66" s="14">
        <f>_xll.BDH("AMZN US Equity","NET_DEBT_TO_SHRHLDR_EQTY","FQ3 2005","FQ3 2005","Currency=USD","Period=FQ","BEST_FPERIOD_OVERRIDE=FQ","FILING_STATUS=OR","Sort=A","Dates=H","DateFormat=P","Fill=—","Direction=H","UseDPDF=Y")</f>
        <v>1850</v>
      </c>
      <c r="AD66" s="14">
        <f>_xll.BDH("AMZN US Equity","NET_DEBT_TO_SHRHLDR_EQTY","FQ4 2005","FQ4 2005","Currency=USD","Period=FQ","BEST_FPERIOD_OVERRIDE=FQ","FILING_STATUS=OR","Sort=A","Dates=H","DateFormat=P","Fill=—","Direction=H","UseDPDF=Y")</f>
        <v>-192.68289999999999</v>
      </c>
      <c r="AE66" s="14">
        <f>_xll.BDH("AMZN US Equity","NET_DEBT_TO_SHRHLDR_EQTY","FQ1 2006","FQ1 2006","Currency=USD","Period=FQ","BEST_FPERIOD_OVERRIDE=FQ","FILING_STATUS=OR","Sort=A","Dates=H","DateFormat=P","Fill=—","Direction=H","UseDPDF=Y")</f>
        <v>-22.530899999999999</v>
      </c>
      <c r="AF66" s="14">
        <f>_xll.BDH("AMZN US Equity","NET_DEBT_TO_SHRHLDR_EQTY","FQ2 2006","FQ2 2006","Currency=USD","Period=FQ","BEST_FPERIOD_OVERRIDE=FQ","FILING_STATUS=OR","Sort=A","Dates=H","DateFormat=P","Fill=—","Direction=H","UseDPDF=Y")</f>
        <v>-13.577</v>
      </c>
      <c r="AG66" s="14">
        <f>_xll.BDH("AMZN US Equity","NET_DEBT_TO_SHRHLDR_EQTY","FQ3 2006","FQ3 2006","Currency=USD","Period=FQ","BEST_FPERIOD_OVERRIDE=FQ","FILING_STATUS=OR","Sort=A","Dates=H","DateFormat=P","Fill=—","Direction=H","UseDPDF=Y")</f>
        <v>79.081599999999995</v>
      </c>
      <c r="AH66" s="14">
        <f>_xll.BDH("AMZN US Equity","NET_DEBT_TO_SHRHLDR_EQTY","FQ4 2006","FQ4 2006","Currency=USD","Period=FQ","BEST_FPERIOD_OVERRIDE=FQ","FILING_STATUS=OR","Sort=A","Dates=H","DateFormat=P","Fill=—","Direction=H","UseDPDF=Y")</f>
        <v>-167.28540000000001</v>
      </c>
      <c r="AI66" s="14">
        <f>_xll.BDH("AMZN US Equity","NET_DEBT_TO_SHRHLDR_EQTY","FQ1 2007","FQ1 2007","Currency=USD","Period=FQ","BEST_FPERIOD_OVERRIDE=FQ","FILING_STATUS=OR","Sort=A","Dates=H","DateFormat=P","Fill=—","Direction=H","UseDPDF=Y")</f>
        <v>-47.875399999999999</v>
      </c>
      <c r="AJ66" s="14">
        <f>_xll.BDH("AMZN US Equity","NET_DEBT_TO_SHRHLDR_EQTY","FQ2 2007","FQ2 2007","Currency=USD","Period=FQ","BEST_FPERIOD_OVERRIDE=FQ","FILING_STATUS=OR","Sort=A","Dates=H","DateFormat=P","Fill=—","Direction=H","UseDPDF=Y")</f>
        <v>-71.454499999999996</v>
      </c>
      <c r="AK66" s="14">
        <f>_xll.BDH("AMZN US Equity","NET_DEBT_TO_SHRHLDR_EQTY","FQ3 2007","FQ3 2007","Currency=USD","Period=FQ","BEST_FPERIOD_OVERRIDE=FQ","FILING_STATUS=OR","Sort=A","Dates=H","DateFormat=P","Fill=—","Direction=H","UseDPDF=Y")</f>
        <v>-83.574200000000005</v>
      </c>
      <c r="AL66" s="14">
        <f>_xll.BDH("AMZN US Equity","NET_DEBT_TO_SHRHLDR_EQTY","FQ4 2007","FQ4 2007","Currency=USD","Period=FQ","BEST_FPERIOD_OVERRIDE=FQ","FILING_STATUS=OR","Sort=A","Dates=H","DateFormat=P","Fill=—","Direction=H","UseDPDF=Y")</f>
        <v>-149.28989999999999</v>
      </c>
      <c r="AM66" s="14">
        <f>_xll.BDH("AMZN US Equity","NET_DEBT_TO_SHRHLDR_EQTY","FQ1 2008","FQ1 2008","Currency=USD","Period=FQ","BEST_FPERIOD_OVERRIDE=FQ","FILING_STATUS=OR","Sort=A","Dates=H","DateFormat=P","Fill=—","Direction=H","UseDPDF=Y")</f>
        <v>-52.925199999999997</v>
      </c>
      <c r="AN66" s="14">
        <f>_xll.BDH("AMZN US Equity","NET_DEBT_TO_SHRHLDR_EQTY","FQ2 2008","FQ2 2008","Currency=USD","Period=FQ","BEST_FPERIOD_OVERRIDE=FQ","FILING_STATUS=OR","Sort=A","Dates=H","DateFormat=P","Fill=—","Direction=H","UseDPDF=Y")</f>
        <v>-67.533600000000007</v>
      </c>
      <c r="AO66" s="14">
        <f>_xll.BDH("AMZN US Equity","NET_DEBT_TO_SHRHLDR_EQTY","FQ3 2008","FQ3 2008","Currency=USD","Period=FQ","BEST_FPERIOD_OVERRIDE=FQ","FILING_STATUS=OR","Sort=A","Dates=H","DateFormat=P","Fill=—","Direction=H","UseDPDF=Y")</f>
        <v>-74.752700000000004</v>
      </c>
      <c r="AP66" s="14">
        <f>_xll.BDH("AMZN US Equity","NET_DEBT_TO_SHRHLDR_EQTY","FQ4 2008","FQ4 2008","Currency=USD","Period=FQ","BEST_FPERIOD_OVERRIDE=FQ","FILING_STATUS=OR","Sort=A","Dates=H","DateFormat=P","Fill=—","Direction=H","UseDPDF=Y")</f>
        <v>-114.6332</v>
      </c>
    </row>
    <row r="67" spans="1:42" x14ac:dyDescent="0.25">
      <c r="A67" s="10" t="s">
        <v>290</v>
      </c>
      <c r="B67" s="10" t="s">
        <v>291</v>
      </c>
      <c r="C67" s="14">
        <f>_xll.BDH("AMZN US Equity","TCE_RATIO","FQ4 1998","FQ4 1998","Currency=USD","Period=FQ","BEST_FPERIOD_OVERRIDE=FQ","FILING_STATUS=OR","Sort=A","Dates=H","DateFormat=P","Fill=—","Direction=H","UseDPDF=Y")</f>
        <v>-10.3081</v>
      </c>
      <c r="D67" s="14">
        <f>_xll.BDH("AMZN US Equity","TCE_RATIO","FQ1 1999","FQ1 1999","Currency=USD","Period=FQ","BEST_FPERIOD_OVERRIDE=FQ","FILING_STATUS=OR","Sort=A","Dates=H","DateFormat=P","Fill=—","Direction=H","UseDPDF=Y")</f>
        <v>-6.7447999999999997</v>
      </c>
      <c r="E67" s="14">
        <f>_xll.BDH("AMZN US Equity","TCE_RATIO","FQ2 1999","FQ2 1999","Currency=USD","Period=FQ","BEST_FPERIOD_OVERRIDE=FQ","FILING_STATUS=OR","Sort=A","Dates=H","DateFormat=P","Fill=—","Direction=H","UseDPDF=Y")</f>
        <v>-5.2435999999999998</v>
      </c>
      <c r="F67" s="14">
        <f>_xll.BDH("AMZN US Equity","TCE_RATIO","FQ3 1999","FQ3 1999","Currency=USD","Period=FQ","BEST_FPERIOD_OVERRIDE=FQ","FILING_STATUS=OR","Sort=A","Dates=H","DateFormat=P","Fill=—","Direction=H","UseDPDF=Y")</f>
        <v>-18.646100000000001</v>
      </c>
      <c r="G67" s="14">
        <f>_xll.BDH("AMZN US Equity","TCE_RATIO","FQ4 1999","FQ4 1999","Currency=USD","Period=FQ","BEST_FPERIOD_OVERRIDE=FQ","FILING_STATUS=OR","Sort=A","Dates=H","DateFormat=P","Fill=—","Direction=H","UseDPDF=Y")</f>
        <v>-13.858599999999999</v>
      </c>
      <c r="H67" s="14">
        <f>_xll.BDH("AMZN US Equity","TCE_RATIO","FQ1 2000","FQ1 2000","Currency=USD","Period=FQ","BEST_FPERIOD_OVERRIDE=FQ","FILING_STATUS=OR","Sort=A","Dates=H","DateFormat=P","Fill=—","Direction=H","UseDPDF=Y")</f>
        <v>-29.846800000000002</v>
      </c>
      <c r="I67" s="14">
        <f>_xll.BDH("AMZN US Equity","TCE_RATIO","FQ3 2000","FQ3 2000","Currency=USD","Period=FQ","BEST_FPERIOD_OVERRIDE=FQ","FILING_STATUS=OR","Sort=A","Dates=H","DateFormat=P","Fill=—","Direction=H","UseDPDF=Y")</f>
        <v>-58.1053</v>
      </c>
      <c r="J67" s="14">
        <f>_xll.BDH("AMZN US Equity","TCE_RATIO","FQ4 2000","FQ4 2000","Currency=USD","Period=FQ","BEST_FPERIOD_OVERRIDE=FQ","FILING_STATUS=OR","Sort=A","Dates=H","DateFormat=P","Fill=—","Direction=H","UseDPDF=Y")</f>
        <v>-65.036000000000001</v>
      </c>
      <c r="K67" s="14">
        <f>_xll.BDH("AMZN US Equity","TCE_RATIO","FQ1 2001","FQ1 2001","Currency=USD","Period=FQ","BEST_FPERIOD_OVERRIDE=FQ","FILING_STATUS=OR","Sort=A","Dates=H","DateFormat=P","Fill=—","Direction=H","UseDPDF=Y")</f>
        <v>-115.17659999999999</v>
      </c>
      <c r="L67" s="14">
        <f>_xll.BDH("AMZN US Equity","TCE_RATIO","FQ2 2001","FQ2 2001","Currency=USD","Period=FQ","BEST_FPERIOD_OVERRIDE=FQ","FILING_STATUS=OR","Sort=A","Dates=H","DateFormat=P","Fill=—","Direction=H","UseDPDF=Y")</f>
        <v>-132.77170000000001</v>
      </c>
      <c r="M67" s="14">
        <f>_xll.BDH("AMZN US Equity","TCE_RATIO","FQ3 2001","FQ3 2001","Currency=USD","Period=FQ","BEST_FPERIOD_OVERRIDE=FQ","FILING_STATUS=OR","Sort=A","Dates=H","DateFormat=P","Fill=—","Direction=H","UseDPDF=Y")</f>
        <v>-126.6936</v>
      </c>
      <c r="N67" s="14">
        <f>_xll.BDH("AMZN US Equity","TCE_RATIO","FQ4 2001","FQ4 2001","Currency=USD","Period=FQ","BEST_FPERIOD_OVERRIDE=FQ","FILING_STATUS=OR","Sort=A","Dates=H","DateFormat=P","Fill=—","Direction=H","UseDPDF=Y")</f>
        <v>-97.557500000000005</v>
      </c>
      <c r="O67" s="14">
        <f>_xll.BDH("AMZN US Equity","TCE_RATIO","FQ1 2002","FQ1 2002","Currency=USD","Period=FQ","BEST_FPERIOD_OVERRIDE=FQ","FILING_STATUS=OR","Sort=A","Dates=H","DateFormat=P","Fill=—","Direction=H","UseDPDF=Y")</f>
        <v>-118.7662</v>
      </c>
      <c r="P67" s="14">
        <f>_xll.BDH("AMZN US Equity","TCE_RATIO","FQ2 2002","FQ2 2002","Currency=USD","Period=FQ","BEST_FPERIOD_OVERRIDE=FQ","FILING_STATUS=OR","Sort=A","Dates=H","DateFormat=P","Fill=—","Direction=H","UseDPDF=Y")</f>
        <v>-111.89830000000001</v>
      </c>
      <c r="Q67" s="14">
        <f>_xll.BDH("AMZN US Equity","TCE_RATIO","FQ3 2002","FQ3 2002","Currency=USD","Period=FQ","BEST_FPERIOD_OVERRIDE=FQ","FILING_STATUS=OR","Sort=A","Dates=H","DateFormat=P","Fill=—","Direction=H","UseDPDF=Y")</f>
        <v>-109.2392</v>
      </c>
      <c r="R67" s="14">
        <f>_xll.BDH("AMZN US Equity","TCE_RATIO","FQ4 2002","FQ4 2002","Currency=USD","Period=FQ","BEST_FPERIOD_OVERRIDE=FQ","FILING_STATUS=OR","Sort=A","Dates=H","DateFormat=P","Fill=—","Direction=H","UseDPDF=Y")</f>
        <v>-74.4756</v>
      </c>
      <c r="S67" s="14">
        <f>_xll.BDH("AMZN US Equity","TCE_RATIO","FQ1 2003","FQ1 2003","Currency=USD","Period=FQ","BEST_FPERIOD_OVERRIDE=FQ","FILING_STATUS=OR","Sort=A","Dates=H","DateFormat=P","Fill=—","Direction=H","UseDPDF=Y")</f>
        <v>-83.452399999999997</v>
      </c>
      <c r="T67" s="14">
        <f>_xll.BDH("AMZN US Equity","TCE_RATIO","FQ2 2003","FQ2 2003","Currency=USD","Period=FQ","BEST_FPERIOD_OVERRIDE=FQ","FILING_STATUS=OR","Sort=A","Dates=H","DateFormat=P","Fill=—","Direction=H","UseDPDF=Y")</f>
        <v>-86.543899999999994</v>
      </c>
      <c r="U67" s="14">
        <f>_xll.BDH("AMZN US Equity","TCE_RATIO","FQ3 2003","FQ3 2003","Currency=USD","Period=FQ","BEST_FPERIOD_OVERRIDE=FQ","FILING_STATUS=OR","Sort=A","Dates=H","DateFormat=P","Fill=—","Direction=H","UseDPDF=Y")</f>
        <v>-73.088300000000004</v>
      </c>
      <c r="V67" s="14">
        <f>_xll.BDH("AMZN US Equity","TCE_RATIO","FQ4 2003","FQ4 2003","Currency=USD","Period=FQ","BEST_FPERIOD_OVERRIDE=FQ","FILING_STATUS=OR","Sort=A","Dates=H","DateFormat=P","Fill=—","Direction=H","UseDPDF=Y")</f>
        <v>-52.845999999999997</v>
      </c>
      <c r="W67" s="14">
        <f>_xll.BDH("AMZN US Equity","TCE_RATIO","FQ1 2004","FQ1 2004","Currency=USD","Period=FQ","BEST_FPERIOD_OVERRIDE=FQ","FILING_STATUS=OR","Sort=A","Dates=H","DateFormat=P","Fill=—","Direction=H","UseDPDF=Y")</f>
        <v>-58.353200000000001</v>
      </c>
      <c r="X67" s="14">
        <f>_xll.BDH("AMZN US Equity","TCE_RATIO","FQ2 2004","FQ2 2004","Currency=USD","Period=FQ","BEST_FPERIOD_OVERRIDE=FQ","FILING_STATUS=OR","Sort=A","Dates=H","DateFormat=P","Fill=—","Direction=H","UseDPDF=Y")</f>
        <v>-47.277900000000002</v>
      </c>
      <c r="Y67" s="14">
        <f>_xll.BDH("AMZN US Equity","TCE_RATIO","FQ3 2004","FQ3 2004","Currency=USD","Period=FQ","BEST_FPERIOD_OVERRIDE=FQ","FILING_STATUS=OR","Sort=A","Dates=H","DateFormat=P","Fill=—","Direction=H","UseDPDF=Y")</f>
        <v>-43.562899999999999</v>
      </c>
      <c r="Z67" s="14">
        <f>_xll.BDH("AMZN US Equity","TCE_RATIO","FQ4 2004","FQ4 2004","Currency=USD","Period=FQ","BEST_FPERIOD_OVERRIDE=FQ","FILING_STATUS=OR","Sort=A","Dates=H","DateFormat=P","Fill=—","Direction=H","UseDPDF=Y")</f>
        <v>-11.777100000000001</v>
      </c>
      <c r="AA67" s="14">
        <f>_xll.BDH("AMZN US Equity","TCE_RATIO","FQ1 2005","FQ1 2005","Currency=USD","Period=FQ","BEST_FPERIOD_OVERRIDE=FQ","FILING_STATUS=OR","Sort=A","Dates=H","DateFormat=P","Fill=—","Direction=H","UseDPDF=Y")</f>
        <v>-14.011200000000001</v>
      </c>
      <c r="AB67" s="14">
        <f>_xll.BDH("AMZN US Equity","TCE_RATIO","FQ2 2005","FQ2 2005","Currency=USD","Period=FQ","BEST_FPERIOD_OVERRIDE=FQ","FILING_STATUS=OR","Sort=A","Dates=H","DateFormat=P","Fill=—","Direction=H","UseDPDF=Y")</f>
        <v>-8.9088999999999992</v>
      </c>
      <c r="AC67" s="14">
        <f>_xll.BDH("AMZN US Equity","TCE_RATIO","FQ3 2005","FQ3 2005","Currency=USD","Period=FQ","BEST_FPERIOD_OVERRIDE=FQ","FILING_STATUS=OR","Sort=A","Dates=H","DateFormat=P","Fill=—","Direction=H","UseDPDF=Y")</f>
        <v>-5.7239000000000004</v>
      </c>
      <c r="AD67" s="14">
        <f>_xll.BDH("AMZN US Equity","TCE_RATIO","FQ4 2005","FQ4 2005","Currency=USD","Period=FQ","BEST_FPERIOD_OVERRIDE=FQ","FILING_STATUS=OR","Sort=A","Dates=H","DateFormat=P","Fill=—","Direction=H","UseDPDF=Y")</f>
        <v>2.1554000000000002</v>
      </c>
      <c r="AE67" s="14">
        <f>_xll.BDH("AMZN US Equity","TCE_RATIO","FQ1 2006","FQ1 2006","Currency=USD","Period=FQ","BEST_FPERIOD_OVERRIDE=FQ","FILING_STATUS=OR","Sort=A","Dates=H","DateFormat=P","Fill=—","Direction=H","UseDPDF=Y")</f>
        <v>4.6836000000000002</v>
      </c>
      <c r="AF67" s="14">
        <f>_xll.BDH("AMZN US Equity","TCE_RATIO","FQ2 2006","FQ2 2006","Currency=USD","Period=FQ","BEST_FPERIOD_OVERRIDE=FQ","FILING_STATUS=OR","Sort=A","Dates=H","DateFormat=P","Fill=—","Direction=H","UseDPDF=Y")</f>
        <v>6.3929999999999998</v>
      </c>
      <c r="AG67" s="14">
        <f>_xll.BDH("AMZN US Equity","TCE_RATIO","FQ3 2006","FQ3 2006","Currency=USD","Period=FQ","BEST_FPERIOD_OVERRIDE=FQ","FILING_STATUS=OR","Sort=A","Dates=H","DateFormat=P","Fill=—","Direction=H","UseDPDF=Y")</f>
        <v>6.5100000000000005E-2</v>
      </c>
      <c r="AH67" s="14">
        <f>_xll.BDH("AMZN US Equity","TCE_RATIO","FQ4 2006","FQ4 2006","Currency=USD","Period=FQ","BEST_FPERIOD_OVERRIDE=FQ","FILING_STATUS=OR","Sort=A","Dates=H","DateFormat=P","Fill=—","Direction=H","UseDPDF=Y")</f>
        <v>5.6622000000000003</v>
      </c>
      <c r="AI67" s="14">
        <f>_xll.BDH("AMZN US Equity","TCE_RATIO","FQ1 2007","FQ1 2007","Currency=USD","Period=FQ","BEST_FPERIOD_OVERRIDE=FQ","FILING_STATUS=OR","Sort=A","Dates=H","DateFormat=P","Fill=—","Direction=H","UseDPDF=Y")</f>
        <v>4.5309999999999997</v>
      </c>
      <c r="AJ67" s="14">
        <f>_xll.BDH("AMZN US Equity","TCE_RATIO","FQ2 2007","FQ2 2007","Currency=USD","Period=FQ","BEST_FPERIOD_OVERRIDE=FQ","FILING_STATUS=OR","Sort=A","Dates=H","DateFormat=P","Fill=—","Direction=H","UseDPDF=Y")</f>
        <v>8.9124999999999996</v>
      </c>
      <c r="AK67" s="14">
        <f>_xll.BDH("AMZN US Equity","TCE_RATIO","FQ3 2007","FQ3 2007","Currency=USD","Period=FQ","BEST_FPERIOD_OVERRIDE=FQ","FILING_STATUS=OR","Sort=A","Dates=H","DateFormat=P","Fill=—","Direction=H","UseDPDF=Y")</f>
        <v>12.3409</v>
      </c>
      <c r="AL67" s="14">
        <f>_xll.BDH("AMZN US Equity","TCE_RATIO","FQ4 2007","FQ4 2007","Currency=USD","Period=FQ","BEST_FPERIOD_OVERRIDE=FQ","FILING_STATUS=OR","Sort=A","Dates=H","DateFormat=P","Fill=—","Direction=H","UseDPDF=Y")</f>
        <v>15.567600000000001</v>
      </c>
      <c r="AM67" s="14">
        <f>_xll.BDH("AMZN US Equity","TCE_RATIO","FQ1 2008","FQ1 2008","Currency=USD","Period=FQ","BEST_FPERIOD_OVERRIDE=FQ","FILING_STATUS=OR","Sort=A","Dates=H","DateFormat=P","Fill=—","Direction=H","UseDPDF=Y")</f>
        <v>19.632100000000001</v>
      </c>
      <c r="AN67" s="14">
        <f>_xll.BDH("AMZN US Equity","TCE_RATIO","FQ2 2008","FQ2 2008","Currency=USD","Period=FQ","BEST_FPERIOD_OVERRIDE=FQ","FILING_STATUS=OR","Sort=A","Dates=H","DateFormat=P","Fill=—","Direction=H","UseDPDF=Y")</f>
        <v>30.901699999999998</v>
      </c>
      <c r="AO67" s="14">
        <f>_xll.BDH("AMZN US Equity","TCE_RATIO","FQ3 2008","FQ3 2008","Currency=USD","Period=FQ","BEST_FPERIOD_OVERRIDE=FQ","FILING_STATUS=OR","Sort=A","Dates=H","DateFormat=P","Fill=—","Direction=H","UseDPDF=Y")</f>
        <v>34.442500000000003</v>
      </c>
      <c r="AP67" s="14">
        <f>_xll.BDH("AMZN US Equity","TCE_RATIO","FQ4 2008","FQ4 2008","Currency=USD","Period=FQ","BEST_FPERIOD_OVERRIDE=FQ","FILING_STATUS=OR","Sort=A","Dates=H","DateFormat=P","Fill=—","Direction=H","UseDPDF=Y")</f>
        <v>28.364699999999999</v>
      </c>
    </row>
    <row r="68" spans="1:42" x14ac:dyDescent="0.25">
      <c r="A68" s="10" t="s">
        <v>292</v>
      </c>
      <c r="B68" s="10" t="s">
        <v>293</v>
      </c>
      <c r="C68" s="14">
        <f>_xll.BDH("AMZN US Equity","CUR_RATIO","FQ4 1998","FQ4 1998","Currency=USD","Period=FQ","BEST_FPERIOD_OVERRIDE=FQ","FILING_STATUS=OR","Sort=A","Dates=H","DateFormat=P","Fill=—","Direction=H","UseDPDF=Y")</f>
        <v>2.6257000000000001</v>
      </c>
      <c r="D68" s="14">
        <f>_xll.BDH("AMZN US Equity","CUR_RATIO","FQ1 1999","FQ1 1999","Currency=USD","Period=FQ","BEST_FPERIOD_OVERRIDE=FQ","FILING_STATUS=OR","Sort=A","Dates=H","DateFormat=P","Fill=—","Direction=H","UseDPDF=Y")</f>
        <v>7.5663999999999998</v>
      </c>
      <c r="E68" s="14">
        <f>_xll.BDH("AMZN US Equity","CUR_RATIO","FQ2 1999","FQ2 1999","Currency=USD","Period=FQ","BEST_FPERIOD_OVERRIDE=FQ","FILING_STATUS=OR","Sort=A","Dates=H","DateFormat=P","Fill=—","Direction=H","UseDPDF=Y")</f>
        <v>4.5222999999999995</v>
      </c>
      <c r="F68" s="14">
        <f>_xll.BDH("AMZN US Equity","CUR_RATIO","FQ3 1999","FQ3 1999","Currency=USD","Period=FQ","BEST_FPERIOD_OVERRIDE=FQ","FILING_STATUS=OR","Sort=A","Dates=H","DateFormat=P","Fill=—","Direction=H","UseDPDF=Y")</f>
        <v>3.0196999999999998</v>
      </c>
      <c r="G68" s="14">
        <f>_xll.BDH("AMZN US Equity","CUR_RATIO","FQ4 1999","FQ4 1999","Currency=USD","Period=FQ","BEST_FPERIOD_OVERRIDE=FQ","FILING_STATUS=OR","Sort=A","Dates=H","DateFormat=P","Fill=—","Direction=H","UseDPDF=Y")</f>
        <v>1.3698000000000001</v>
      </c>
      <c r="H68" s="14">
        <f>_xll.BDH("AMZN US Equity","CUR_RATIO","FQ1 2000","FQ1 2000","Currency=USD","Period=FQ","BEST_FPERIOD_OVERRIDE=FQ","FILING_STATUS=OR","Sort=A","Dates=H","DateFormat=P","Fill=—","Direction=H","UseDPDF=Y")</f>
        <v>2.2408999999999999</v>
      </c>
      <c r="I68" s="14">
        <f>_xll.BDH("AMZN US Equity","CUR_RATIO","FQ3 2000","FQ3 2000","Currency=USD","Period=FQ","BEST_FPERIOD_OVERRIDE=FQ","FILING_STATUS=OR","Sort=A","Dates=H","DateFormat=P","Fill=—","Direction=H","UseDPDF=Y")</f>
        <v>1.7646999999999999</v>
      </c>
      <c r="J68" s="14">
        <f>_xll.BDH("AMZN US Equity","CUR_RATIO","FQ4 2000","FQ4 2000","Currency=USD","Period=FQ","BEST_FPERIOD_OVERRIDE=FQ","FILING_STATUS=OR","Sort=A","Dates=H","DateFormat=P","Fill=—","Direction=H","UseDPDF=Y")</f>
        <v>1.3961000000000001</v>
      </c>
      <c r="K68" s="14">
        <f>_xll.BDH("AMZN US Equity","CUR_RATIO","FQ1 2001","FQ1 2001","Currency=USD","Period=FQ","BEST_FPERIOD_OVERRIDE=FQ","FILING_STATUS=OR","Sort=A","Dates=H","DateFormat=P","Fill=—","Direction=H","UseDPDF=Y")</f>
        <v>1.4151</v>
      </c>
      <c r="L68" s="14">
        <f>_xll.BDH("AMZN US Equity","CUR_RATIO","FQ2 2001","FQ2 2001","Currency=USD","Period=FQ","BEST_FPERIOD_OVERRIDE=FQ","FILING_STATUS=OR","Sort=A","Dates=H","DateFormat=P","Fill=—","Direction=H","UseDPDF=Y")</f>
        <v>1.2484999999999999</v>
      </c>
      <c r="M68" s="14">
        <f>_xll.BDH("AMZN US Equity","CUR_RATIO","FQ3 2001","FQ3 2001","Currency=USD","Period=FQ","BEST_FPERIOD_OVERRIDE=FQ","FILING_STATUS=OR","Sort=A","Dates=H","DateFormat=P","Fill=—","Direction=H","UseDPDF=Y")</f>
        <v>1.3854</v>
      </c>
      <c r="N68" s="14">
        <f>_xll.BDH("AMZN US Equity","CUR_RATIO","FQ4 2001","FQ4 2001","Currency=USD","Period=FQ","BEST_FPERIOD_OVERRIDE=FQ","FILING_STATUS=OR","Sort=A","Dates=H","DateFormat=P","Fill=—","Direction=H","UseDPDF=Y")</f>
        <v>1.3109</v>
      </c>
      <c r="O68" s="14">
        <f>_xll.BDH("AMZN US Equity","CUR_RATIO","FQ1 2002","FQ1 2002","Currency=USD","Period=FQ","BEST_FPERIOD_OVERRIDE=FQ","FILING_STATUS=OR","Sort=A","Dates=H","DateFormat=P","Fill=—","Direction=H","UseDPDF=Y")</f>
        <v>1.4523999999999999</v>
      </c>
      <c r="P68" s="14">
        <f>_xll.BDH("AMZN US Equity","CUR_RATIO","FQ2 2002","FQ2 2002","Currency=USD","Period=FQ","BEST_FPERIOD_OVERRIDE=FQ","FILING_STATUS=OR","Sort=A","Dates=H","DateFormat=P","Fill=—","Direction=H","UseDPDF=Y")</f>
        <v>1.5798999999999999</v>
      </c>
      <c r="Q68" s="14">
        <f>_xll.BDH("AMZN US Equity","CUR_RATIO","FQ3 2002","FQ3 2002","Currency=USD","Period=FQ","BEST_FPERIOD_OVERRIDE=FQ","FILING_STATUS=OR","Sort=A","Dates=H","DateFormat=P","Fill=—","Direction=H","UseDPDF=Y")</f>
        <v>1.5747</v>
      </c>
      <c r="R68" s="14">
        <f>_xll.BDH("AMZN US Equity","CUR_RATIO","FQ4 2002","FQ4 2002","Currency=USD","Period=FQ","BEST_FPERIOD_OVERRIDE=FQ","FILING_STATUS=OR","Sort=A","Dates=H","DateFormat=P","Fill=—","Direction=H","UseDPDF=Y")</f>
        <v>1.5157</v>
      </c>
      <c r="S68" s="14">
        <f>_xll.BDH("AMZN US Equity","CUR_RATIO","FQ1 2003","FQ1 2003","Currency=USD","Period=FQ","BEST_FPERIOD_OVERRIDE=FQ","FILING_STATUS=OR","Sort=A","Dates=H","DateFormat=P","Fill=—","Direction=H","UseDPDF=Y")</f>
        <v>1.9245999999999999</v>
      </c>
      <c r="T68" s="14">
        <f>_xll.BDH("AMZN US Equity","CUR_RATIO","FQ2 2003","FQ2 2003","Currency=USD","Period=FQ","BEST_FPERIOD_OVERRIDE=FQ","FILING_STATUS=OR","Sort=A","Dates=H","DateFormat=P","Fill=—","Direction=H","UseDPDF=Y")</f>
        <v>1.6263000000000001</v>
      </c>
      <c r="U68" s="14">
        <f>_xll.BDH("AMZN US Equity","CUR_RATIO","FQ3 2003","FQ3 2003","Currency=USD","Period=FQ","BEST_FPERIOD_OVERRIDE=FQ","FILING_STATUS=OR","Sort=A","Dates=H","DateFormat=P","Fill=—","Direction=H","UseDPDF=Y")</f>
        <v>1.7057</v>
      </c>
      <c r="V68" s="14">
        <f>_xll.BDH("AMZN US Equity","CUR_RATIO","FQ4 2003","FQ4 2003","Currency=USD","Period=FQ","BEST_FPERIOD_OVERRIDE=FQ","FILING_STATUS=OR","Sort=A","Dates=H","DateFormat=P","Fill=—","Direction=H","UseDPDF=Y")</f>
        <v>1.4535</v>
      </c>
      <c r="W68" s="14">
        <f>_xll.BDH("AMZN US Equity","CUR_RATIO","FQ1 2004","FQ1 2004","Currency=USD","Period=FQ","BEST_FPERIOD_OVERRIDE=FQ","FILING_STATUS=OR","Sort=A","Dates=H","DateFormat=P","Fill=—","Direction=H","UseDPDF=Y")</f>
        <v>1.6232</v>
      </c>
      <c r="X68" s="14">
        <f>_xll.BDH("AMZN US Equity","CUR_RATIO","FQ2 2004","FQ2 2004","Currency=USD","Period=FQ","BEST_FPERIOD_OVERRIDE=FQ","FILING_STATUS=OR","Sort=A","Dates=H","DateFormat=P","Fill=—","Direction=H","UseDPDF=Y")</f>
        <v>1.7037</v>
      </c>
      <c r="Y68" s="14">
        <f>_xll.BDH("AMZN US Equity","CUR_RATIO","FQ3 2004","FQ3 2004","Currency=USD","Period=FQ","BEST_FPERIOD_OVERRIDE=FQ","FILING_STATUS=OR","Sort=A","Dates=H","DateFormat=P","Fill=—","Direction=H","UseDPDF=Y")</f>
        <v>1.6106</v>
      </c>
      <c r="Z68" s="14">
        <f>_xll.BDH("AMZN US Equity","CUR_RATIO","FQ4 2004","FQ4 2004","Currency=USD","Period=FQ","BEST_FPERIOD_OVERRIDE=FQ","FILING_STATUS=OR","Sort=A","Dates=H","DateFormat=P","Fill=—","Direction=H","UseDPDF=Y")</f>
        <v>1.5670999999999999</v>
      </c>
      <c r="AA68" s="14">
        <f>_xll.BDH("AMZN US Equity","CUR_RATIO","FQ1 2005","FQ1 2005","Currency=USD","Period=FQ","BEST_FPERIOD_OVERRIDE=FQ","FILING_STATUS=OR","Sort=A","Dates=H","DateFormat=P","Fill=—","Direction=H","UseDPDF=Y")</f>
        <v>1.671</v>
      </c>
      <c r="AB68" s="14">
        <f>_xll.BDH("AMZN US Equity","CUR_RATIO","FQ2 2005","FQ2 2005","Currency=USD","Period=FQ","BEST_FPERIOD_OVERRIDE=FQ","FILING_STATUS=OR","Sort=A","Dates=H","DateFormat=P","Fill=—","Direction=H","UseDPDF=Y")</f>
        <v>1.6836</v>
      </c>
      <c r="AC68" s="14">
        <f>_xll.BDH("AMZN US Equity","CUR_RATIO","FQ3 2005","FQ3 2005","Currency=USD","Period=FQ","BEST_FPERIOD_OVERRIDE=FQ","FILING_STATUS=OR","Sort=A","Dates=H","DateFormat=P","Fill=—","Direction=H","UseDPDF=Y")</f>
        <v>1.6153999999999999</v>
      </c>
      <c r="AD68" s="14">
        <f>_xll.BDH("AMZN US Equity","CUR_RATIO","FQ4 2005","FQ4 2005","Currency=USD","Period=FQ","BEST_FPERIOD_OVERRIDE=FQ","FILING_STATUS=OR","Sort=A","Dates=H","DateFormat=P","Fill=—","Direction=H","UseDPDF=Y")</f>
        <v>1.5184</v>
      </c>
      <c r="AE68" s="14">
        <f>_xll.BDH("AMZN US Equity","CUR_RATIO","FQ1 2006","FQ1 2006","Currency=USD","Period=FQ","BEST_FPERIOD_OVERRIDE=FQ","FILING_STATUS=OR","Sort=A","Dates=H","DateFormat=P","Fill=—","Direction=H","UseDPDF=Y")</f>
        <v>1.5537000000000001</v>
      </c>
      <c r="AF68" s="14">
        <f>_xll.BDH("AMZN US Equity","CUR_RATIO","FQ2 2006","FQ2 2006","Currency=USD","Period=FQ","BEST_FPERIOD_OVERRIDE=FQ","FILING_STATUS=OR","Sort=A","Dates=H","DateFormat=P","Fill=—","Direction=H","UseDPDF=Y")</f>
        <v>1.5302</v>
      </c>
      <c r="AG68" s="14">
        <f>_xll.BDH("AMZN US Equity","CUR_RATIO","FQ3 2006","FQ3 2006","Currency=USD","Period=FQ","BEST_FPERIOD_OVERRIDE=FQ","FILING_STATUS=OR","Sort=A","Dates=H","DateFormat=P","Fill=—","Direction=H","UseDPDF=Y")</f>
        <v>1.3094000000000001</v>
      </c>
      <c r="AH68" s="14">
        <f>_xll.BDH("AMZN US Equity","CUR_RATIO","FQ4 2006","FQ4 2006","Currency=USD","Period=FQ","BEST_FPERIOD_OVERRIDE=FQ","FILING_STATUS=OR","Sort=A","Dates=H","DateFormat=P","Fill=—","Direction=H","UseDPDF=Y")</f>
        <v>1.3321000000000001</v>
      </c>
      <c r="AI68" s="14">
        <f>_xll.BDH("AMZN US Equity","CUR_RATIO","FQ1 2007","FQ1 2007","Currency=USD","Period=FQ","BEST_FPERIOD_OVERRIDE=FQ","FILING_STATUS=OR","Sort=A","Dates=H","DateFormat=P","Fill=—","Direction=H","UseDPDF=Y")</f>
        <v>1.4077</v>
      </c>
      <c r="AJ68" s="14">
        <f>_xll.BDH("AMZN US Equity","CUR_RATIO","FQ2 2007","FQ2 2007","Currency=USD","Period=FQ","BEST_FPERIOD_OVERRIDE=FQ","FILING_STATUS=OR","Sort=A","Dates=H","DateFormat=P","Fill=—","Direction=H","UseDPDF=Y")</f>
        <v>1.4767999999999999</v>
      </c>
      <c r="AK68" s="14">
        <f>_xll.BDH("AMZN US Equity","CUR_RATIO","FQ3 2007","FQ3 2007","Currency=USD","Period=FQ","BEST_FPERIOD_OVERRIDE=FQ","FILING_STATUS=OR","Sort=A","Dates=H","DateFormat=P","Fill=—","Direction=H","UseDPDF=Y")</f>
        <v>1.4764999999999999</v>
      </c>
      <c r="AL68" s="14">
        <f>_xll.BDH("AMZN US Equity","CUR_RATIO","FQ4 2007","FQ4 2007","Currency=USD","Period=FQ","BEST_FPERIOD_OVERRIDE=FQ","FILING_STATUS=OR","Sort=A","Dates=H","DateFormat=P","Fill=—","Direction=H","UseDPDF=Y")</f>
        <v>1.3904000000000001</v>
      </c>
      <c r="AM68" s="14">
        <f>_xll.BDH("AMZN US Equity","CUR_RATIO","FQ1 2008","FQ1 2008","Currency=USD","Period=FQ","BEST_FPERIOD_OVERRIDE=FQ","FILING_STATUS=OR","Sort=A","Dates=H","DateFormat=P","Fill=—","Direction=H","UseDPDF=Y")</f>
        <v>1.1166</v>
      </c>
      <c r="AN68" s="14">
        <f>_xll.BDH("AMZN US Equity","CUR_RATIO","FQ2 2008","FQ2 2008","Currency=USD","Period=FQ","BEST_FPERIOD_OVERRIDE=FQ","FILING_STATUS=OR","Sort=A","Dates=H","DateFormat=P","Fill=—","Direction=H","UseDPDF=Y")</f>
        <v>1.3171999999999999</v>
      </c>
      <c r="AO68" s="14">
        <f>_xll.BDH("AMZN US Equity","CUR_RATIO","FQ3 2008","FQ3 2008","Currency=USD","Period=FQ","BEST_FPERIOD_OVERRIDE=FQ","FILING_STATUS=OR","Sort=A","Dates=H","DateFormat=P","Fill=—","Direction=H","UseDPDF=Y")</f>
        <v>1.409</v>
      </c>
      <c r="AP68" s="14">
        <f>_xll.BDH("AMZN US Equity","CUR_RATIO","FQ4 2008","FQ4 2008","Currency=USD","Period=FQ","BEST_FPERIOD_OVERRIDE=FQ","FILING_STATUS=OR","Sort=A","Dates=H","DateFormat=P","Fill=—","Direction=H","UseDPDF=Y")</f>
        <v>1.2972999999999999</v>
      </c>
    </row>
    <row r="69" spans="1:42" x14ac:dyDescent="0.25">
      <c r="A69" s="10" t="s">
        <v>294</v>
      </c>
      <c r="B69" s="10" t="s">
        <v>295</v>
      </c>
      <c r="C69" s="14" t="str">
        <f>_xll.BDH("AMZN US Equity","CASH_CONVERSION_CYCLE","FQ4 1998","FQ4 1998","Currency=USD","Period=FQ","BEST_FPERIOD_OVERRIDE=FQ","FILING_STATUS=OR","FA_ADJUSTED=GAAP","Sort=A","Dates=H","DateFormat=P","Fill=—","Direction=H","UseDPDF=Y")</f>
        <v>—</v>
      </c>
      <c r="D69" s="14" t="str">
        <f>_xll.BDH("AMZN US Equity","CASH_CONVERSION_CYCLE","FQ1 1999","FQ1 1999","Currency=USD","Period=FQ","BEST_FPERIOD_OVERRIDE=FQ","FILING_STATUS=OR","FA_ADJUSTED=GAAP","Sort=A","Dates=H","DateFormat=P","Fill=—","Direction=H","UseDPDF=Y")</f>
        <v>—</v>
      </c>
      <c r="E69" s="14" t="str">
        <f>_xll.BDH("AMZN US Equity","CASH_CONVERSION_CYCLE","FQ2 1999","FQ2 1999","Currency=USD","Period=FQ","BEST_FPERIOD_OVERRIDE=FQ","FILING_STATUS=OR","FA_ADJUSTED=GAAP","Sort=A","Dates=H","DateFormat=P","Fill=—","Direction=H","UseDPDF=Y")</f>
        <v>—</v>
      </c>
      <c r="F69" s="14" t="str">
        <f>_xll.BDH("AMZN US Equity","CASH_CONVERSION_CYCLE","FQ3 1999","FQ3 1999","Currency=USD","Period=FQ","BEST_FPERIOD_OVERRIDE=FQ","FILING_STATUS=OR","FA_ADJUSTED=GAAP","Sort=A","Dates=H","DateFormat=P","Fill=—","Direction=H","UseDPDF=Y")</f>
        <v>—</v>
      </c>
      <c r="G69" s="14" t="str">
        <f>_xll.BDH("AMZN US Equity","CASH_CONVERSION_CYCLE","FQ4 1999","FQ4 1999","Currency=USD","Period=FQ","BEST_FPERIOD_OVERRIDE=FQ","FILING_STATUS=OR","FA_ADJUSTED=GAAP","Sort=A","Dates=H","DateFormat=P","Fill=—","Direction=H","UseDPDF=Y")</f>
        <v>—</v>
      </c>
      <c r="H69" s="14" t="str">
        <f>_xll.BDH("AMZN US Equity","CASH_CONVERSION_CYCLE","FQ1 2000","FQ1 2000","Currency=USD","Period=FQ","BEST_FPERIOD_OVERRIDE=FQ","FILING_STATUS=OR","FA_ADJUSTED=GAAP","Sort=A","Dates=H","DateFormat=P","Fill=—","Direction=H","UseDPDF=Y")</f>
        <v>—</v>
      </c>
      <c r="I69" s="14" t="str">
        <f>_xll.BDH("AMZN US Equity","CASH_CONVERSION_CYCLE","FQ3 2000","FQ3 2000","Currency=USD","Period=FQ","BEST_FPERIOD_OVERRIDE=FQ","FILING_STATUS=OR","FA_ADJUSTED=GAAP","Sort=A","Dates=H","DateFormat=P","Fill=—","Direction=H","UseDPDF=Y")</f>
        <v>—</v>
      </c>
      <c r="J69" s="14" t="str">
        <f>_xll.BDH("AMZN US Equity","CASH_CONVERSION_CYCLE","FQ4 2000","FQ4 2000","Currency=USD","Period=FQ","BEST_FPERIOD_OVERRIDE=FQ","FILING_STATUS=OR","FA_ADJUSTED=GAAP","Sort=A","Dates=H","DateFormat=P","Fill=—","Direction=H","UseDPDF=Y")</f>
        <v>—</v>
      </c>
      <c r="K69" s="14" t="str">
        <f>_xll.BDH("AMZN US Equity","CASH_CONVERSION_CYCLE","FQ1 2001","FQ1 2001","Currency=USD","Period=FQ","BEST_FPERIOD_OVERRIDE=FQ","FILING_STATUS=OR","FA_ADJUSTED=GAAP","Sort=A","Dates=H","DateFormat=P","Fill=—","Direction=H","UseDPDF=Y")</f>
        <v>—</v>
      </c>
      <c r="L69" s="14" t="str">
        <f>_xll.BDH("AMZN US Equity","CASH_CONVERSION_CYCLE","FQ2 2001","FQ2 2001","Currency=USD","Period=FQ","BEST_FPERIOD_OVERRIDE=FQ","FILING_STATUS=OR","FA_ADJUSTED=GAAP","Sort=A","Dates=H","DateFormat=P","Fill=—","Direction=H","UseDPDF=Y")</f>
        <v>—</v>
      </c>
      <c r="M69" s="14" t="str">
        <f>_xll.BDH("AMZN US Equity","CASH_CONVERSION_CYCLE","FQ3 2001","FQ3 2001","Currency=USD","Period=FQ","BEST_FPERIOD_OVERRIDE=FQ","FILING_STATUS=OR","FA_ADJUSTED=GAAP","Sort=A","Dates=H","DateFormat=P","Fill=—","Direction=H","UseDPDF=Y")</f>
        <v>—</v>
      </c>
      <c r="N69" s="14" t="str">
        <f>_xll.BDH("AMZN US Equity","CASH_CONVERSION_CYCLE","FQ4 2001","FQ4 2001","Currency=USD","Period=FQ","BEST_FPERIOD_OVERRIDE=FQ","FILING_STATUS=OR","FA_ADJUSTED=GAAP","Sort=A","Dates=H","DateFormat=P","Fill=—","Direction=H","UseDPDF=Y")</f>
        <v>—</v>
      </c>
      <c r="O69" s="14" t="str">
        <f>_xll.BDH("AMZN US Equity","CASH_CONVERSION_CYCLE","FQ1 2002","FQ1 2002","Currency=USD","Period=FQ","BEST_FPERIOD_OVERRIDE=FQ","FILING_STATUS=OR","FA_ADJUSTED=GAAP","Sort=A","Dates=H","DateFormat=P","Fill=—","Direction=H","UseDPDF=Y")</f>
        <v>—</v>
      </c>
      <c r="P69" s="14" t="str">
        <f>_xll.BDH("AMZN US Equity","CASH_CONVERSION_CYCLE","FQ2 2002","FQ2 2002","Currency=USD","Period=FQ","BEST_FPERIOD_OVERRIDE=FQ","FILING_STATUS=OR","FA_ADJUSTED=GAAP","Sort=A","Dates=H","DateFormat=P","Fill=—","Direction=H","UseDPDF=Y")</f>
        <v>—</v>
      </c>
      <c r="Q69" s="14" t="str">
        <f>_xll.BDH("AMZN US Equity","CASH_CONVERSION_CYCLE","FQ3 2002","FQ3 2002","Currency=USD","Period=FQ","BEST_FPERIOD_OVERRIDE=FQ","FILING_STATUS=OR","FA_ADJUSTED=GAAP","Sort=A","Dates=H","DateFormat=P","Fill=—","Direction=H","UseDPDF=Y")</f>
        <v>—</v>
      </c>
      <c r="R69" s="14" t="str">
        <f>_xll.BDH("AMZN US Equity","CASH_CONVERSION_CYCLE","FQ4 2002","FQ4 2002","Currency=USD","Period=FQ","BEST_FPERIOD_OVERRIDE=FQ","FILING_STATUS=OR","FA_ADJUSTED=GAAP","Sort=A","Dates=H","DateFormat=P","Fill=—","Direction=H","UseDPDF=Y")</f>
        <v>—</v>
      </c>
      <c r="S69" s="14" t="str">
        <f>_xll.BDH("AMZN US Equity","CASH_CONVERSION_CYCLE","FQ1 2003","FQ1 2003","Currency=USD","Period=FQ","BEST_FPERIOD_OVERRIDE=FQ","FILING_STATUS=OR","FA_ADJUSTED=GAAP","Sort=A","Dates=H","DateFormat=P","Fill=—","Direction=H","UseDPDF=Y")</f>
        <v>—</v>
      </c>
      <c r="T69" s="14" t="str">
        <f>_xll.BDH("AMZN US Equity","CASH_CONVERSION_CYCLE","FQ2 2003","FQ2 2003","Currency=USD","Period=FQ","BEST_FPERIOD_OVERRIDE=FQ","FILING_STATUS=OR","FA_ADJUSTED=GAAP","Sort=A","Dates=H","DateFormat=P","Fill=—","Direction=H","UseDPDF=Y")</f>
        <v>—</v>
      </c>
      <c r="U69" s="14" t="str">
        <f>_xll.BDH("AMZN US Equity","CASH_CONVERSION_CYCLE","FQ3 2003","FQ3 2003","Currency=USD","Period=FQ","BEST_FPERIOD_OVERRIDE=FQ","FILING_STATUS=OR","FA_ADJUSTED=GAAP","Sort=A","Dates=H","DateFormat=P","Fill=—","Direction=H","UseDPDF=Y")</f>
        <v>—</v>
      </c>
      <c r="V69" s="14" t="str">
        <f>_xll.BDH("AMZN US Equity","CASH_CONVERSION_CYCLE","FQ4 2003","FQ4 2003","Currency=USD","Period=FQ","BEST_FPERIOD_OVERRIDE=FQ","FILING_STATUS=OR","FA_ADJUSTED=GAAP","Sort=A","Dates=H","DateFormat=P","Fill=—","Direction=H","UseDPDF=Y")</f>
        <v>—</v>
      </c>
      <c r="W69" s="14" t="str">
        <f>_xll.BDH("AMZN US Equity","CASH_CONVERSION_CYCLE","FQ1 2004","FQ1 2004","Currency=USD","Period=FQ","BEST_FPERIOD_OVERRIDE=FQ","FILING_STATUS=OR","FA_ADJUSTED=GAAP","Sort=A","Dates=H","DateFormat=P","Fill=—","Direction=H","UseDPDF=Y")</f>
        <v>—</v>
      </c>
      <c r="X69" s="14" t="str">
        <f>_xll.BDH("AMZN US Equity","CASH_CONVERSION_CYCLE","FQ2 2004","FQ2 2004","Currency=USD","Period=FQ","BEST_FPERIOD_OVERRIDE=FQ","FILING_STATUS=OR","FA_ADJUSTED=GAAP","Sort=A","Dates=H","DateFormat=P","Fill=—","Direction=H","UseDPDF=Y")</f>
        <v>—</v>
      </c>
      <c r="Y69" s="14" t="str">
        <f>_xll.BDH("AMZN US Equity","CASH_CONVERSION_CYCLE","FQ3 2004","FQ3 2004","Currency=USD","Period=FQ","BEST_FPERIOD_OVERRIDE=FQ","FILING_STATUS=OR","FA_ADJUSTED=GAAP","Sort=A","Dates=H","DateFormat=P","Fill=—","Direction=H","UseDPDF=Y")</f>
        <v>—</v>
      </c>
      <c r="Z69" s="14">
        <f>_xll.BDH("AMZN US Equity","CASH_CONVERSION_CYCLE","FQ4 2004","FQ4 2004","Currency=USD","Period=FQ","BEST_FPERIOD_OVERRIDE=FQ","FILING_STATUS=OR","FA_ADJUSTED=GAAP","Sort=A","Dates=H","DateFormat=P","Fill=—","Direction=H","UseDPDF=Y")</f>
        <v>-33.327300000000001</v>
      </c>
      <c r="AA69" s="14">
        <f>_xll.BDH("AMZN US Equity","CASH_CONVERSION_CYCLE","FQ1 2005","FQ1 2005","Currency=USD","Period=FQ","BEST_FPERIOD_OVERRIDE=FQ","FILING_STATUS=OR","FA_ADJUSTED=GAAP","Sort=A","Dates=H","DateFormat=P","Fill=—","Direction=H","UseDPDF=Y")</f>
        <v>-13.991300000000001</v>
      </c>
      <c r="AB69" s="14">
        <f>_xll.BDH("AMZN US Equity","CASH_CONVERSION_CYCLE","FQ2 2005","FQ2 2005","Currency=USD","Period=FQ","BEST_FPERIOD_OVERRIDE=FQ","FILING_STATUS=OR","FA_ADJUSTED=GAAP","Sort=A","Dates=H","DateFormat=P","Fill=—","Direction=H","UseDPDF=Y")</f>
        <v>-15.990500000000001</v>
      </c>
      <c r="AC69" s="14">
        <f>_xll.BDH("AMZN US Equity","CASH_CONVERSION_CYCLE","FQ3 2005","FQ3 2005","Currency=USD","Period=FQ","BEST_FPERIOD_OVERRIDE=FQ","FILING_STATUS=OR","FA_ADJUSTED=GAAP","Sort=A","Dates=H","DateFormat=P","Fill=—","Direction=H","UseDPDF=Y")</f>
        <v>-17.331</v>
      </c>
      <c r="AD69" s="14">
        <f>_xll.BDH("AMZN US Equity","CASH_CONVERSION_CYCLE","FQ4 2005","FQ4 2005","Currency=USD","Period=FQ","BEST_FPERIOD_OVERRIDE=FQ","FILING_STATUS=OR","FA_ADJUSTED=GAAP","Sort=A","Dates=H","DateFormat=P","Fill=—","Direction=H","UseDPDF=Y")</f>
        <v>-30.248699999999999</v>
      </c>
      <c r="AE69" s="14">
        <f>_xll.BDH("AMZN US Equity","CASH_CONVERSION_CYCLE","FQ1 2006","FQ1 2006","Currency=USD","Period=FQ","BEST_FPERIOD_OVERRIDE=FQ","FILING_STATUS=OR","FA_ADJUSTED=GAAP","Sort=A","Dates=H","DateFormat=P","Fill=—","Direction=H","UseDPDF=Y")</f>
        <v>-9.4179999999999993</v>
      </c>
      <c r="AF69" s="14">
        <f>_xll.BDH("AMZN US Equity","CASH_CONVERSION_CYCLE","FQ2 2006","FQ2 2006","Currency=USD","Period=FQ","BEST_FPERIOD_OVERRIDE=FQ","FILING_STATUS=OR","FA_ADJUSTED=GAAP","Sort=A","Dates=H","DateFormat=P","Fill=—","Direction=H","UseDPDF=Y")</f>
        <v>-11.6631</v>
      </c>
      <c r="AG69" s="14">
        <f>_xll.BDH("AMZN US Equity","CASH_CONVERSION_CYCLE","FQ3 2006","FQ3 2006","Currency=USD","Period=FQ","BEST_FPERIOD_OVERRIDE=FQ","FILING_STATUS=OR","FA_ADJUSTED=GAAP","Sort=A","Dates=H","DateFormat=P","Fill=—","Direction=H","UseDPDF=Y")</f>
        <v>-10.944599999999999</v>
      </c>
      <c r="AH69" s="14">
        <f>_xll.BDH("AMZN US Equity","CASH_CONVERSION_CYCLE","FQ4 2006","FQ4 2006","Currency=USD","Period=FQ","BEST_FPERIOD_OVERRIDE=FQ","FILING_STATUS=OR","FA_ADJUSTED=GAAP","Sort=A","Dates=H","DateFormat=P","Fill=—","Direction=H","UseDPDF=Y")</f>
        <v>-24.424499999999998</v>
      </c>
      <c r="AI69" s="14">
        <f>_xll.BDH("AMZN US Equity","CASH_CONVERSION_CYCLE","FQ1 2007","FQ1 2007","Currency=USD","Period=FQ","BEST_FPERIOD_OVERRIDE=FQ","FILING_STATUS=OR","FA_ADJUSTED=GAAP","Sort=A","Dates=H","DateFormat=P","Fill=—","Direction=H","UseDPDF=Y")</f>
        <v>-6.9653</v>
      </c>
      <c r="AJ69" s="14">
        <f>_xll.BDH("AMZN US Equity","CASH_CONVERSION_CYCLE","FQ2 2007","FQ2 2007","Currency=USD","Period=FQ","BEST_FPERIOD_OVERRIDE=FQ","FILING_STATUS=OR","FA_ADJUSTED=GAAP","Sort=A","Dates=H","DateFormat=P","Fill=—","Direction=H","UseDPDF=Y")</f>
        <v>-9.0312999999999999</v>
      </c>
      <c r="AK69" s="14">
        <f>_xll.BDH("AMZN US Equity","CASH_CONVERSION_CYCLE","FQ3 2007","FQ3 2007","Currency=USD","Period=FQ","BEST_FPERIOD_OVERRIDE=FQ","FILING_STATUS=OR","FA_ADJUSTED=GAAP","Sort=A","Dates=H","DateFormat=P","Fill=—","Direction=H","UseDPDF=Y")</f>
        <v>-9.3498999999999999</v>
      </c>
      <c r="AL69" s="14">
        <f>_xll.BDH("AMZN US Equity","CASH_CONVERSION_CYCLE","FQ4 2007","FQ4 2007","Currency=USD","Period=FQ","BEST_FPERIOD_OVERRIDE=FQ","FILING_STATUS=OR","FA_ADJUSTED=GAAP","Sort=A","Dates=H","DateFormat=P","Fill=—","Direction=H","UseDPDF=Y")</f>
        <v>-24.6844</v>
      </c>
      <c r="AM69" s="14">
        <f>_xll.BDH("AMZN US Equity","CASH_CONVERSION_CYCLE","FQ1 2008","FQ1 2008","Currency=USD","Period=FQ","BEST_FPERIOD_OVERRIDE=FQ","FILING_STATUS=OR","FA_ADJUSTED=GAAP","Sort=A","Dates=H","DateFormat=P","Fill=—","Direction=H","UseDPDF=Y")</f>
        <v>-6.4804000000000004</v>
      </c>
      <c r="AN69" s="14">
        <f>_xll.BDH("AMZN US Equity","CASH_CONVERSION_CYCLE","FQ2 2008","FQ2 2008","Currency=USD","Period=FQ","BEST_FPERIOD_OVERRIDE=FQ","FILING_STATUS=OR","FA_ADJUSTED=GAAP","Sort=A","Dates=H","DateFormat=P","Fill=—","Direction=H","UseDPDF=Y")</f>
        <v>-7.9312000000000005</v>
      </c>
      <c r="AO69" s="14">
        <f>_xll.BDH("AMZN US Equity","CASH_CONVERSION_CYCLE","FQ3 2008","FQ3 2008","Currency=USD","Period=FQ","BEST_FPERIOD_OVERRIDE=FQ","FILING_STATUS=OR","FA_ADJUSTED=GAAP","Sort=A","Dates=H","DateFormat=P","Fill=—","Direction=H","UseDPDF=Y")</f>
        <v>-9.2231000000000005</v>
      </c>
      <c r="AP69" s="14">
        <f>_xll.BDH("AMZN US Equity","CASH_CONVERSION_CYCLE","FQ4 2008","FQ4 2008","Currency=USD","Period=FQ","BEST_FPERIOD_OVERRIDE=FQ","FILING_STATUS=OR","FA_ADJUSTED=GAAP","Sort=A","Dates=H","DateFormat=P","Fill=—","Direction=H","UseDPDF=Y")</f>
        <v>-30.898299999999999</v>
      </c>
    </row>
    <row r="70" spans="1:42" x14ac:dyDescent="0.25">
      <c r="A70" s="10" t="s">
        <v>296</v>
      </c>
      <c r="B70" s="10" t="s">
        <v>297</v>
      </c>
      <c r="C70" s="14">
        <f>_xll.BDH("AMZN US Equity","NUM_OF_EMPLOYEES","FQ4 1998","FQ4 1998","Currency=USD","Period=FQ","BEST_FPERIOD_OVERRIDE=FQ","FILING_STATUS=OR","Sort=A","Dates=H","DateFormat=P","Fill=—","Direction=H","UseDPDF=Y")</f>
        <v>2100</v>
      </c>
      <c r="D70" s="14" t="str">
        <f>_xll.BDH("AMZN US Equity","NUM_OF_EMPLOYEES","FQ1 1999","FQ1 1999","Currency=USD","Period=FQ","BEST_FPERIOD_OVERRIDE=FQ","FILING_STATUS=OR","Sort=A","Dates=H","DateFormat=P","Fill=—","Direction=H","UseDPDF=Y")</f>
        <v>—</v>
      </c>
      <c r="E70" s="14" t="str">
        <f>_xll.BDH("AMZN US Equity","NUM_OF_EMPLOYEES","FQ2 1999","FQ2 1999","Currency=USD","Period=FQ","BEST_FPERIOD_OVERRIDE=FQ","FILING_STATUS=OR","Sort=A","Dates=H","DateFormat=P","Fill=—","Direction=H","UseDPDF=Y")</f>
        <v>—</v>
      </c>
      <c r="F70" s="14" t="str">
        <f>_xll.BDH("AMZN US Equity","NUM_OF_EMPLOYEES","FQ3 1999","FQ3 1999","Currency=USD","Period=FQ","BEST_FPERIOD_OVERRIDE=FQ","FILING_STATUS=OR","Sort=A","Dates=H","DateFormat=P","Fill=—","Direction=H","UseDPDF=Y")</f>
        <v>—</v>
      </c>
      <c r="G70" s="14" t="str">
        <f>_xll.BDH("AMZN US Equity","NUM_OF_EMPLOYEES","FQ4 1999","FQ4 1999","Currency=USD","Period=FQ","BEST_FPERIOD_OVERRIDE=FQ","FILING_STATUS=OR","Sort=A","Dates=H","DateFormat=P","Fill=—","Direction=H","UseDPDF=Y")</f>
        <v>—</v>
      </c>
      <c r="H70" s="14" t="str">
        <f>_xll.BDH("AMZN US Equity","NUM_OF_EMPLOYEES","FQ1 2000","FQ1 2000","Currency=USD","Period=FQ","BEST_FPERIOD_OVERRIDE=FQ","FILING_STATUS=OR","Sort=A","Dates=H","DateFormat=P","Fill=—","Direction=H","UseDPDF=Y")</f>
        <v>—</v>
      </c>
      <c r="I70" s="14" t="str">
        <f>_xll.BDH("AMZN US Equity","NUM_OF_EMPLOYEES","FQ3 2000","FQ3 2000","Currency=USD","Period=FQ","BEST_FPERIOD_OVERRIDE=FQ","FILING_STATUS=OR","Sort=A","Dates=H","DateFormat=P","Fill=—","Direction=H","UseDPDF=Y")</f>
        <v>—</v>
      </c>
      <c r="J70" s="14" t="str">
        <f>_xll.BDH("AMZN US Equity","NUM_OF_EMPLOYEES","FQ4 2000","FQ4 2000","Currency=USD","Period=FQ","BEST_FPERIOD_OVERRIDE=FQ","FILING_STATUS=OR","Sort=A","Dates=H","DateFormat=P","Fill=—","Direction=H","UseDPDF=Y")</f>
        <v>—</v>
      </c>
      <c r="K70" s="14" t="str">
        <f>_xll.BDH("AMZN US Equity","NUM_OF_EMPLOYEES","FQ1 2001","FQ1 2001","Currency=USD","Period=FQ","BEST_FPERIOD_OVERRIDE=FQ","FILING_STATUS=OR","Sort=A","Dates=H","DateFormat=P","Fill=—","Direction=H","UseDPDF=Y")</f>
        <v>—</v>
      </c>
      <c r="L70" s="14" t="str">
        <f>_xll.BDH("AMZN US Equity","NUM_OF_EMPLOYEES","FQ2 2001","FQ2 2001","Currency=USD","Period=FQ","BEST_FPERIOD_OVERRIDE=FQ","FILING_STATUS=OR","Sort=A","Dates=H","DateFormat=P","Fill=—","Direction=H","UseDPDF=Y")</f>
        <v>—</v>
      </c>
      <c r="M70" s="14" t="str">
        <f>_xll.BDH("AMZN US Equity","NUM_OF_EMPLOYEES","FQ3 2001","FQ3 2001","Currency=USD","Period=FQ","BEST_FPERIOD_OVERRIDE=FQ","FILING_STATUS=OR","Sort=A","Dates=H","DateFormat=P","Fill=—","Direction=H","UseDPDF=Y")</f>
        <v>—</v>
      </c>
      <c r="N70" s="14" t="str">
        <f>_xll.BDH("AMZN US Equity","NUM_OF_EMPLOYEES","FQ4 2001","FQ4 2001","Currency=USD","Period=FQ","BEST_FPERIOD_OVERRIDE=FQ","FILING_STATUS=OR","Sort=A","Dates=H","DateFormat=P","Fill=—","Direction=H","UseDPDF=Y")</f>
        <v>—</v>
      </c>
      <c r="O70" s="14" t="str">
        <f>_xll.BDH("AMZN US Equity","NUM_OF_EMPLOYEES","FQ1 2002","FQ1 2002","Currency=USD","Period=FQ","BEST_FPERIOD_OVERRIDE=FQ","FILING_STATUS=OR","Sort=A","Dates=H","DateFormat=P","Fill=—","Direction=H","UseDPDF=Y")</f>
        <v>—</v>
      </c>
      <c r="P70" s="14" t="str">
        <f>_xll.BDH("AMZN US Equity","NUM_OF_EMPLOYEES","FQ2 2002","FQ2 2002","Currency=USD","Period=FQ","BEST_FPERIOD_OVERRIDE=FQ","FILING_STATUS=OR","Sort=A","Dates=H","DateFormat=P","Fill=—","Direction=H","UseDPDF=Y")</f>
        <v>—</v>
      </c>
      <c r="Q70" s="14" t="str">
        <f>_xll.BDH("AMZN US Equity","NUM_OF_EMPLOYEES","FQ3 2002","FQ3 2002","Currency=USD","Period=FQ","BEST_FPERIOD_OVERRIDE=FQ","FILING_STATUS=OR","Sort=A","Dates=H","DateFormat=P","Fill=—","Direction=H","UseDPDF=Y")</f>
        <v>—</v>
      </c>
      <c r="R70" s="14" t="str">
        <f>_xll.BDH("AMZN US Equity","NUM_OF_EMPLOYEES","FQ4 2002","FQ4 2002","Currency=USD","Period=FQ","BEST_FPERIOD_OVERRIDE=FQ","FILING_STATUS=OR","Sort=A","Dates=H","DateFormat=P","Fill=—","Direction=H","UseDPDF=Y")</f>
        <v>—</v>
      </c>
      <c r="S70" s="14" t="str">
        <f>_xll.BDH("AMZN US Equity","NUM_OF_EMPLOYEES","FQ1 2003","FQ1 2003","Currency=USD","Period=FQ","BEST_FPERIOD_OVERRIDE=FQ","FILING_STATUS=OR","Sort=A","Dates=H","DateFormat=P","Fill=—","Direction=H","UseDPDF=Y")</f>
        <v>—</v>
      </c>
      <c r="T70" s="14" t="str">
        <f>_xll.BDH("AMZN US Equity","NUM_OF_EMPLOYEES","FQ2 2003","FQ2 2003","Currency=USD","Period=FQ","BEST_FPERIOD_OVERRIDE=FQ","FILING_STATUS=OR","Sort=A","Dates=H","DateFormat=P","Fill=—","Direction=H","UseDPDF=Y")</f>
        <v>—</v>
      </c>
      <c r="U70" s="14" t="str">
        <f>_xll.BDH("AMZN US Equity","NUM_OF_EMPLOYEES","FQ3 2003","FQ3 2003","Currency=USD","Period=FQ","BEST_FPERIOD_OVERRIDE=FQ","FILING_STATUS=OR","Sort=A","Dates=H","DateFormat=P","Fill=—","Direction=H","UseDPDF=Y")</f>
        <v>—</v>
      </c>
      <c r="V70" s="14" t="str">
        <f>_xll.BDH("AMZN US Equity","NUM_OF_EMPLOYEES","FQ4 2003","FQ4 2003","Currency=USD","Period=FQ","BEST_FPERIOD_OVERRIDE=FQ","FILING_STATUS=OR","Sort=A","Dates=H","DateFormat=P","Fill=—","Direction=H","UseDPDF=Y")</f>
        <v>—</v>
      </c>
      <c r="W70" s="14" t="str">
        <f>_xll.BDH("AMZN US Equity","NUM_OF_EMPLOYEES","FQ1 2004","FQ1 2004","Currency=USD","Period=FQ","BEST_FPERIOD_OVERRIDE=FQ","FILING_STATUS=OR","Sort=A","Dates=H","DateFormat=P","Fill=—","Direction=H","UseDPDF=Y")</f>
        <v>—</v>
      </c>
      <c r="X70" s="14" t="str">
        <f>_xll.BDH("AMZN US Equity","NUM_OF_EMPLOYEES","FQ2 2004","FQ2 2004","Currency=USD","Period=FQ","BEST_FPERIOD_OVERRIDE=FQ","FILING_STATUS=OR","Sort=A","Dates=H","DateFormat=P","Fill=—","Direction=H","UseDPDF=Y")</f>
        <v>—</v>
      </c>
      <c r="Y70" s="14" t="str">
        <f>_xll.BDH("AMZN US Equity","NUM_OF_EMPLOYEES","FQ3 2004","FQ3 2004","Currency=USD","Period=FQ","BEST_FPERIOD_OVERRIDE=FQ","FILING_STATUS=OR","Sort=A","Dates=H","DateFormat=P","Fill=—","Direction=H","UseDPDF=Y")</f>
        <v>—</v>
      </c>
      <c r="Z70" s="14">
        <f>_xll.BDH("AMZN US Equity","NUM_OF_EMPLOYEES","FQ4 2004","FQ4 2004","Currency=USD","Period=FQ","BEST_FPERIOD_OVERRIDE=FQ","FILING_STATUS=OR","Sort=A","Dates=H","DateFormat=P","Fill=—","Direction=H","UseDPDF=Y")</f>
        <v>9000</v>
      </c>
      <c r="AA70" s="14" t="str">
        <f>_xll.BDH("AMZN US Equity","NUM_OF_EMPLOYEES","FQ1 2005","FQ1 2005","Currency=USD","Period=FQ","BEST_FPERIOD_OVERRIDE=FQ","FILING_STATUS=OR","Sort=A","Dates=H","DateFormat=P","Fill=—","Direction=H","UseDPDF=Y")</f>
        <v>—</v>
      </c>
      <c r="AB70" s="14" t="str">
        <f>_xll.BDH("AMZN US Equity","NUM_OF_EMPLOYEES","FQ2 2005","FQ2 2005","Currency=USD","Period=FQ","BEST_FPERIOD_OVERRIDE=FQ","FILING_STATUS=OR","Sort=A","Dates=H","DateFormat=P","Fill=—","Direction=H","UseDPDF=Y")</f>
        <v>—</v>
      </c>
      <c r="AC70" s="14" t="str">
        <f>_xll.BDH("AMZN US Equity","NUM_OF_EMPLOYEES","FQ3 2005","FQ3 2005","Currency=USD","Period=FQ","BEST_FPERIOD_OVERRIDE=FQ","FILING_STATUS=OR","Sort=A","Dates=H","DateFormat=P","Fill=—","Direction=H","UseDPDF=Y")</f>
        <v>—</v>
      </c>
      <c r="AD70" s="14">
        <f>_xll.BDH("AMZN US Equity","NUM_OF_EMPLOYEES","FQ4 2005","FQ4 2005","Currency=USD","Period=FQ","BEST_FPERIOD_OVERRIDE=FQ","FILING_STATUS=OR","Sort=A","Dates=H","DateFormat=P","Fill=—","Direction=H","UseDPDF=Y")</f>
        <v>12000</v>
      </c>
      <c r="AE70" s="14" t="str">
        <f>_xll.BDH("AMZN US Equity","NUM_OF_EMPLOYEES","FQ1 2006","FQ1 2006","Currency=USD","Period=FQ","BEST_FPERIOD_OVERRIDE=FQ","FILING_STATUS=OR","Sort=A","Dates=H","DateFormat=P","Fill=—","Direction=H","UseDPDF=Y")</f>
        <v>—</v>
      </c>
      <c r="AF70" s="14" t="str">
        <f>_xll.BDH("AMZN US Equity","NUM_OF_EMPLOYEES","FQ2 2006","FQ2 2006","Currency=USD","Period=FQ","BEST_FPERIOD_OVERRIDE=FQ","FILING_STATUS=OR","Sort=A","Dates=H","DateFormat=P","Fill=—","Direction=H","UseDPDF=Y")</f>
        <v>—</v>
      </c>
      <c r="AG70" s="14" t="str">
        <f>_xll.BDH("AMZN US Equity","NUM_OF_EMPLOYEES","FQ3 2006","FQ3 2006","Currency=USD","Period=FQ","BEST_FPERIOD_OVERRIDE=FQ","FILING_STATUS=OR","Sort=A","Dates=H","DateFormat=P","Fill=—","Direction=H","UseDPDF=Y")</f>
        <v>—</v>
      </c>
      <c r="AH70" s="14">
        <f>_xll.BDH("AMZN US Equity","NUM_OF_EMPLOYEES","FQ4 2006","FQ4 2006","Currency=USD","Period=FQ","BEST_FPERIOD_OVERRIDE=FQ","FILING_STATUS=OR","Sort=A","Dates=H","DateFormat=P","Fill=—","Direction=H","UseDPDF=Y")</f>
        <v>13900</v>
      </c>
      <c r="AI70" s="14" t="str">
        <f>_xll.BDH("AMZN US Equity","NUM_OF_EMPLOYEES","FQ1 2007","FQ1 2007","Currency=USD","Period=FQ","BEST_FPERIOD_OVERRIDE=FQ","FILING_STATUS=OR","Sort=A","Dates=H","DateFormat=P","Fill=—","Direction=H","UseDPDF=Y")</f>
        <v>—</v>
      </c>
      <c r="AJ70" s="14" t="str">
        <f>_xll.BDH("AMZN US Equity","NUM_OF_EMPLOYEES","FQ2 2007","FQ2 2007","Currency=USD","Period=FQ","BEST_FPERIOD_OVERRIDE=FQ","FILING_STATUS=OR","Sort=A","Dates=H","DateFormat=P","Fill=—","Direction=H","UseDPDF=Y")</f>
        <v>—</v>
      </c>
      <c r="AK70" s="14" t="str">
        <f>_xll.BDH("AMZN US Equity","NUM_OF_EMPLOYEES","FQ3 2007","FQ3 2007","Currency=USD","Period=FQ","BEST_FPERIOD_OVERRIDE=FQ","FILING_STATUS=OR","Sort=A","Dates=H","DateFormat=P","Fill=—","Direction=H","UseDPDF=Y")</f>
        <v>—</v>
      </c>
      <c r="AL70" s="14">
        <f>_xll.BDH("AMZN US Equity","NUM_OF_EMPLOYEES","FQ4 2007","FQ4 2007","Currency=USD","Period=FQ","BEST_FPERIOD_OVERRIDE=FQ","FILING_STATUS=OR","Sort=A","Dates=H","DateFormat=P","Fill=—","Direction=H","UseDPDF=Y")</f>
        <v>17000</v>
      </c>
      <c r="AM70" s="14" t="str">
        <f>_xll.BDH("AMZN US Equity","NUM_OF_EMPLOYEES","FQ1 2008","FQ1 2008","Currency=USD","Period=FQ","BEST_FPERIOD_OVERRIDE=FQ","FILING_STATUS=OR","Sort=A","Dates=H","DateFormat=P","Fill=—","Direction=H","UseDPDF=Y")</f>
        <v>—</v>
      </c>
      <c r="AN70" s="14" t="str">
        <f>_xll.BDH("AMZN US Equity","NUM_OF_EMPLOYEES","FQ2 2008","FQ2 2008","Currency=USD","Period=FQ","BEST_FPERIOD_OVERRIDE=FQ","FILING_STATUS=OR","Sort=A","Dates=H","DateFormat=P","Fill=—","Direction=H","UseDPDF=Y")</f>
        <v>—</v>
      </c>
      <c r="AO70" s="14" t="str">
        <f>_xll.BDH("AMZN US Equity","NUM_OF_EMPLOYEES","FQ3 2008","FQ3 2008","Currency=USD","Period=FQ","BEST_FPERIOD_OVERRIDE=FQ","FILING_STATUS=OR","Sort=A","Dates=H","DateFormat=P","Fill=—","Direction=H","UseDPDF=Y")</f>
        <v>—</v>
      </c>
      <c r="AP70" s="14">
        <f>_xll.BDH("AMZN US Equity","NUM_OF_EMPLOYEES","FQ4 2008","FQ4 2008","Currency=USD","Period=FQ","BEST_FPERIOD_OVERRIDE=FQ","FILING_STATUS=OR","Sort=A","Dates=H","DateFormat=P","Fill=—","Direction=H","UseDPDF=Y")</f>
        <v>20700</v>
      </c>
    </row>
    <row r="71" spans="1:42" x14ac:dyDescent="0.25">
      <c r="A71" s="7" t="s">
        <v>177</v>
      </c>
      <c r="B71" s="7"/>
      <c r="C71" s="7" t="s">
        <v>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opLeftCell="A46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178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298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5" t="s">
        <v>299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300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301</v>
      </c>
      <c r="B7" s="10" t="s">
        <v>302</v>
      </c>
      <c r="C7" s="13">
        <f>_xll.BDH("AMZN US Equity","CF_NET_INC","FQ1 1999","FQ1 1999","Currency=USD","Period=FQ","BEST_FPERIOD_OVERRIDE=FQ","FILING_STATUS=OR","SCALING_FORMAT=MLN","Sort=A","Dates=H","DateFormat=P","Fill=—","Direction=H","UseDPDF=Y")</f>
        <v>-61.667000000000002</v>
      </c>
      <c r="D7" s="13">
        <f>_xll.BDH("AMZN US Equity","CF_NET_INC","FQ2 1999","FQ2 1999","Currency=USD","Period=FQ","BEST_FPERIOD_OVERRIDE=FQ","FILING_STATUS=OR","SCALING_FORMAT=MLN","Sort=A","Dates=H","DateFormat=P","Fill=—","Direction=H","UseDPDF=Y")</f>
        <v>-138.00800000000001</v>
      </c>
      <c r="E7" s="13">
        <f>_xll.BDH("AMZN US Equity","CF_NET_INC","FQ3 1999","FQ3 1999","Currency=USD","Period=FQ","BEST_FPERIOD_OVERRIDE=FQ","FILING_STATUS=OR","SCALING_FORMAT=MLN","Sort=A","Dates=H","DateFormat=P","Fill=—","Direction=H","UseDPDF=Y")</f>
        <v>-197.08</v>
      </c>
      <c r="F7" s="13">
        <f>_xll.BDH("AMZN US Equity","CF_NET_INC","FQ4 1999","FQ4 1999","Currency=USD","Period=FQ","BEST_FPERIOD_OVERRIDE=FQ","FILING_STATUS=OR","SCALING_FORMAT=MLN","Sort=A","Dates=H","DateFormat=P","Fill=—","Direction=H","UseDPDF=Y")</f>
        <v>-323.21300000000002</v>
      </c>
      <c r="G7" s="13">
        <f>_xll.BDH("AMZN US Equity","CF_NET_INC","FQ1 2000","FQ1 2000","Currency=USD","Period=FQ","BEST_FPERIOD_OVERRIDE=FQ","FILING_STATUS=OR","SCALING_FORMAT=MLN","Sort=A","Dates=H","DateFormat=P","Fill=—","Direction=H","UseDPDF=Y")</f>
        <v>-308.42500000000001</v>
      </c>
      <c r="H7" s="13">
        <f>_xll.BDH("AMZN US Equity","CF_NET_INC","FQ2 2000","FQ2 2000","Currency=USD","Period=FQ","BEST_FPERIOD_OVERRIDE=FQ","FILING_STATUS=OR","SCALING_FORMAT=MLN","Sort=A","Dates=H","DateFormat=P","Fill=—","Direction=H","UseDPDF=Y")</f>
        <v>-317.18400000000003</v>
      </c>
      <c r="I7" s="13">
        <f>_xll.BDH("AMZN US Equity","CF_NET_INC","FQ3 2000","FQ3 2000","Currency=USD","Period=FQ","BEST_FPERIOD_OVERRIDE=FQ","FILING_STATUS=OR","SCALING_FORMAT=MLN","Sort=A","Dates=H","DateFormat=P","Fill=—","Direction=H","UseDPDF=Y")</f>
        <v>-240.524</v>
      </c>
      <c r="J7" s="13">
        <f>_xll.BDH("AMZN US Equity","CF_NET_INC","FQ4 2000","FQ4 2000","Currency=USD","Period=FQ","BEST_FPERIOD_OVERRIDE=FQ","FILING_STATUS=OR","SCALING_FORMAT=MLN","Sort=A","Dates=H","DateFormat=P","Fill=—","Direction=H","UseDPDF=Y")</f>
        <v>-545.14</v>
      </c>
      <c r="K7" s="13">
        <f>_xll.BDH("AMZN US Equity","CF_NET_INC","FQ1 2001","FQ1 2001","Currency=USD","Period=FQ","BEST_FPERIOD_OVERRIDE=FQ","FILING_STATUS=OR","SCALING_FORMAT=MLN","Sort=A","Dates=H","DateFormat=P","Fill=—","Direction=H","UseDPDF=Y")</f>
        <v>-234.131</v>
      </c>
      <c r="L7" s="13">
        <f>_xll.BDH("AMZN US Equity","CF_NET_INC","FQ2 2001","FQ2 2001","Currency=USD","Period=FQ","BEST_FPERIOD_OVERRIDE=FQ","FILING_STATUS=OR","SCALING_FORMAT=MLN","Sort=A","Dates=H","DateFormat=P","Fill=—","Direction=H","UseDPDF=Y")</f>
        <v>-168.35900000000001</v>
      </c>
      <c r="M7" s="13">
        <f>_xll.BDH("AMZN US Equity","CF_NET_INC","FQ3 2001","FQ3 2001","Currency=USD","Period=FQ","BEST_FPERIOD_OVERRIDE=FQ","FILING_STATUS=OR","SCALING_FORMAT=MLN","Sort=A","Dates=H","DateFormat=P","Fill=—","Direction=H","UseDPDF=Y")</f>
        <v>-169.874</v>
      </c>
      <c r="N7" s="13">
        <f>_xll.BDH("AMZN US Equity","CF_NET_INC","FQ4 2001","FQ4 2001","Currency=USD","Period=FQ","BEST_FPERIOD_OVERRIDE=FQ","FILING_STATUS=OR","SCALING_FORMAT=MLN","Sort=A","Dates=H","DateFormat=P","Fill=—","Direction=H","UseDPDF=Y")</f>
        <v>5.0869999999999997</v>
      </c>
      <c r="O7" s="13">
        <f>_xll.BDH("AMZN US Equity","CF_NET_INC","FQ1 2002","FQ1 2002","Currency=USD","Period=FQ","BEST_FPERIOD_OVERRIDE=FQ","FILING_STATUS=OR","SCALING_FORMAT=MLN","Sort=A","Dates=H","DateFormat=P","Fill=—","Direction=H","UseDPDF=Y")</f>
        <v>-23.15</v>
      </c>
      <c r="P7" s="13">
        <f>_xll.BDH("AMZN US Equity","CF_NET_INC","FQ2 2002","FQ2 2002","Currency=USD","Period=FQ","BEST_FPERIOD_OVERRIDE=FQ","FILING_STATUS=OR","SCALING_FORMAT=MLN","Sort=A","Dates=H","DateFormat=P","Fill=—","Direction=H","UseDPDF=Y")</f>
        <v>-93.552999999999997</v>
      </c>
      <c r="Q7" s="13">
        <f>_xll.BDH("AMZN US Equity","CF_NET_INC","FQ3 2002","FQ3 2002","Currency=USD","Period=FQ","BEST_FPERIOD_OVERRIDE=FQ","FILING_STATUS=OR","SCALING_FORMAT=MLN","Sort=A","Dates=H","DateFormat=P","Fill=—","Direction=H","UseDPDF=Y")</f>
        <v>-35.08</v>
      </c>
      <c r="R7" s="13">
        <f>_xll.BDH("AMZN US Equity","CF_NET_INC","FQ4 2002","FQ4 2002","Currency=USD","Period=FQ","BEST_FPERIOD_OVERRIDE=FQ","FILING_STATUS=OR","SCALING_FORMAT=MLN","Sort=A","Dates=H","DateFormat=P","Fill=—","Direction=H","UseDPDF=Y")</f>
        <v>2.6509999999999998</v>
      </c>
      <c r="S7" s="13">
        <f>_xll.BDH("AMZN US Equity","CF_NET_INC","FQ1 2003","FQ1 2003","Currency=USD","Period=FQ","BEST_FPERIOD_OVERRIDE=FQ","FILING_STATUS=OR","SCALING_FORMAT=MLN","Sort=A","Dates=H","DateFormat=P","Fill=—","Direction=H","UseDPDF=Y")</f>
        <v>-10.121</v>
      </c>
      <c r="T7" s="13">
        <f>_xll.BDH("AMZN US Equity","CF_NET_INC","FQ2 2003","FQ2 2003","Currency=USD","Period=FQ","BEST_FPERIOD_OVERRIDE=FQ","FILING_STATUS=OR","SCALING_FORMAT=MLN","Sort=A","Dates=H","DateFormat=P","Fill=—","Direction=H","UseDPDF=Y")</f>
        <v>-43.314</v>
      </c>
      <c r="U7" s="13">
        <f>_xll.BDH("AMZN US Equity","CF_NET_INC","FQ3 2003","FQ3 2003","Currency=USD","Period=FQ","BEST_FPERIOD_OVERRIDE=FQ","FILING_STATUS=OR","SCALING_FORMAT=MLN","Sort=A","Dates=H","DateFormat=P","Fill=—","Direction=H","UseDPDF=Y")</f>
        <v>15.563000000000001</v>
      </c>
      <c r="V7" s="13">
        <f>_xll.BDH("AMZN US Equity","CF_NET_INC","FQ4 2003","FQ4 2003","Currency=USD","Period=FQ","BEST_FPERIOD_OVERRIDE=FQ","FILING_STATUS=OR","SCALING_FORMAT=MLN","Sort=A","Dates=H","DateFormat=P","Fill=—","Direction=H","UseDPDF=Y")</f>
        <v>73.153999999999996</v>
      </c>
      <c r="W7" s="13">
        <f>_xll.BDH("AMZN US Equity","CF_NET_INC","FQ1 2004","FQ1 2004","Currency=USD","Period=FQ","BEST_FPERIOD_OVERRIDE=FQ","FILING_STATUS=OR","SCALING_FORMAT=MLN","Sort=A","Dates=H","DateFormat=P","Fill=—","Direction=H","UseDPDF=Y")</f>
        <v>111.136</v>
      </c>
      <c r="X7" s="13">
        <f>_xll.BDH("AMZN US Equity","CF_NET_INC","FQ2 2004","FQ2 2004","Currency=USD","Period=FQ","BEST_FPERIOD_OVERRIDE=FQ","FILING_STATUS=OR","SCALING_FORMAT=MLN","Sort=A","Dates=H","DateFormat=P","Fill=—","Direction=H","UseDPDF=Y")</f>
        <v>76.48</v>
      </c>
      <c r="Y7" s="13">
        <f>_xll.BDH("AMZN US Equity","CF_NET_INC","FQ3 2004","FQ3 2004","Currency=USD","Period=FQ","BEST_FPERIOD_OVERRIDE=FQ","FILING_STATUS=OR","SCALING_FORMAT=MLN","Sort=A","Dates=H","DateFormat=P","Fill=—","Direction=H","UseDPDF=Y")</f>
        <v>54.146999999999998</v>
      </c>
      <c r="Z7" s="13">
        <f>_xll.BDH("AMZN US Equity","CF_NET_INC","FQ4 2004","FQ4 2004","Currency=USD","Period=FQ","BEST_FPERIOD_OVERRIDE=FQ","FILING_STATUS=OR","SCALING_FORMAT=MLN","Sort=A","Dates=H","DateFormat=P","Fill=—","Direction=H","UseDPDF=Y")</f>
        <v>346.68799999999999</v>
      </c>
      <c r="AA7" s="13">
        <f>_xll.BDH("AMZN US Equity","CF_NET_INC","FQ1 2005","FQ1 2005","Currency=USD","Period=FQ","BEST_FPERIOD_OVERRIDE=FQ","FILING_STATUS=OR","SCALING_FORMAT=MLN","Sort=A","Dates=H","DateFormat=P","Fill=—","Direction=H","UseDPDF=Y")</f>
        <v>78</v>
      </c>
      <c r="AB7" s="13">
        <f>_xll.BDH("AMZN US Equity","CF_NET_INC","FQ2 2005","FQ2 2005","Currency=USD","Period=FQ","BEST_FPERIOD_OVERRIDE=FQ","FILING_STATUS=OR","SCALING_FORMAT=MLN","Sort=A","Dates=H","DateFormat=P","Fill=—","Direction=H","UseDPDF=Y")</f>
        <v>52</v>
      </c>
      <c r="AC7" s="13">
        <f>_xll.BDH("AMZN US Equity","CF_NET_INC","FQ3 2005","FQ3 2005","Currency=USD","Period=FQ","BEST_FPERIOD_OVERRIDE=FQ","FILING_STATUS=OR","SCALING_FORMAT=MLN","Sort=A","Dates=H","DateFormat=P","Fill=—","Direction=H","UseDPDF=Y")</f>
        <v>30</v>
      </c>
      <c r="AD7" s="13">
        <f>_xll.BDH("AMZN US Equity","CF_NET_INC","FQ4 2005","FQ4 2005","Currency=USD","Period=FQ","BEST_FPERIOD_OVERRIDE=FQ","FILING_STATUS=OR","SCALING_FORMAT=MLN","Sort=A","Dates=H","DateFormat=P","Fill=—","Direction=H","UseDPDF=Y")</f>
        <v>199</v>
      </c>
      <c r="AE7" s="13">
        <f>_xll.BDH("AMZN US Equity","CF_NET_INC","FQ1 2006","FQ1 2006","Currency=USD","Period=FQ","BEST_FPERIOD_OVERRIDE=FQ","FILING_STATUS=OR","SCALING_FORMAT=MLN","Sort=A","Dates=H","DateFormat=P","Fill=—","Direction=H","UseDPDF=Y")</f>
        <v>51</v>
      </c>
      <c r="AF7" s="13">
        <f>_xll.BDH("AMZN US Equity","CF_NET_INC","FQ2 2006","FQ2 2006","Currency=USD","Period=FQ","BEST_FPERIOD_OVERRIDE=FQ","FILING_STATUS=OR","SCALING_FORMAT=MLN","Sort=A","Dates=H","DateFormat=P","Fill=—","Direction=H","UseDPDF=Y")</f>
        <v>22</v>
      </c>
      <c r="AG7" s="13">
        <f>_xll.BDH("AMZN US Equity","CF_NET_INC","FQ3 2006","FQ3 2006","Currency=USD","Period=FQ","BEST_FPERIOD_OVERRIDE=FQ","FILING_STATUS=OR","SCALING_FORMAT=MLN","Sort=A","Dates=H","DateFormat=P","Fill=—","Direction=H","UseDPDF=Y")</f>
        <v>19</v>
      </c>
      <c r="AH7" s="13">
        <f>_xll.BDH("AMZN US Equity","CF_NET_INC","FQ4 2006","FQ4 2006","Currency=USD","Period=FQ","BEST_FPERIOD_OVERRIDE=FQ","FILING_STATUS=OR","SCALING_FORMAT=MLN","Sort=A","Dates=H","DateFormat=P","Fill=—","Direction=H","UseDPDF=Y")</f>
        <v>98</v>
      </c>
      <c r="AI7" s="13">
        <f>_xll.BDH("AMZN US Equity","CF_NET_INC","FQ1 2007","FQ1 2007","Currency=USD","Period=FQ","BEST_FPERIOD_OVERRIDE=FQ","FILING_STATUS=OR","SCALING_FORMAT=MLN","Sort=A","Dates=H","DateFormat=P","Fill=—","Direction=H","UseDPDF=Y")</f>
        <v>111</v>
      </c>
      <c r="AJ7" s="13">
        <f>_xll.BDH("AMZN US Equity","CF_NET_INC","FQ2 2007","FQ2 2007","Currency=USD","Period=FQ","BEST_FPERIOD_OVERRIDE=FQ","FILING_STATUS=OR","SCALING_FORMAT=MLN","Sort=A","Dates=H","DateFormat=P","Fill=—","Direction=H","UseDPDF=Y")</f>
        <v>78</v>
      </c>
      <c r="AK7" s="13">
        <f>_xll.BDH("AMZN US Equity","CF_NET_INC","FQ3 2007","FQ3 2007","Currency=USD","Period=FQ","BEST_FPERIOD_OVERRIDE=FQ","FILING_STATUS=OR","SCALING_FORMAT=MLN","Sort=A","Dates=H","DateFormat=P","Fill=—","Direction=H","UseDPDF=Y")</f>
        <v>80</v>
      </c>
      <c r="AL7" s="13">
        <f>_xll.BDH("AMZN US Equity","CF_NET_INC","FQ4 2007","FQ4 2007","Currency=USD","Period=FQ","BEST_FPERIOD_OVERRIDE=FQ","FILING_STATUS=OR","SCALING_FORMAT=MLN","Sort=A","Dates=H","DateFormat=P","Fill=—","Direction=H","UseDPDF=Y")</f>
        <v>207</v>
      </c>
      <c r="AM7" s="13">
        <f>_xll.BDH("AMZN US Equity","CF_NET_INC","FQ1 2008","FQ1 2008","Currency=USD","Period=FQ","BEST_FPERIOD_OVERRIDE=FQ","FILING_STATUS=OR","SCALING_FORMAT=MLN","Sort=A","Dates=H","DateFormat=P","Fill=—","Direction=H","UseDPDF=Y")</f>
        <v>143</v>
      </c>
      <c r="AN7" s="13">
        <f>_xll.BDH("AMZN US Equity","CF_NET_INC","FQ2 2008","FQ2 2008","Currency=USD","Period=FQ","BEST_FPERIOD_OVERRIDE=FQ","FILING_STATUS=OR","SCALING_FORMAT=MLN","Sort=A","Dates=H","DateFormat=P","Fill=—","Direction=H","UseDPDF=Y")</f>
        <v>158</v>
      </c>
      <c r="AO7" s="13">
        <f>_xll.BDH("AMZN US Equity","CF_NET_INC","FQ3 2008","FQ3 2008","Currency=USD","Period=FQ","BEST_FPERIOD_OVERRIDE=FQ","FILING_STATUS=OR","SCALING_FORMAT=MLN","Sort=A","Dates=H","DateFormat=P","Fill=—","Direction=H","UseDPDF=Y")</f>
        <v>118</v>
      </c>
      <c r="AP7" s="13">
        <f>_xll.BDH("AMZN US Equity","CF_NET_INC","FQ4 2008","FQ4 2008","Currency=USD","Period=FQ","BEST_FPERIOD_OVERRIDE=FQ","FILING_STATUS=OR","SCALING_FORMAT=MLN","Sort=A","Dates=H","DateFormat=P","Fill=—","Direction=H","UseDPDF=Y")</f>
        <v>225</v>
      </c>
    </row>
    <row r="8" spans="1:42" x14ac:dyDescent="0.25">
      <c r="A8" s="10" t="s">
        <v>303</v>
      </c>
      <c r="B8" s="10" t="s">
        <v>304</v>
      </c>
      <c r="C8" s="13">
        <f>_xll.BDH("AMZN US Equity","CF_DEPR_AMORT","FQ1 1999","FQ1 1999","Currency=USD","Period=FQ","BEST_FPERIOD_OVERRIDE=FQ","FILING_STATUS=OR","SCALING_FORMAT=MLN","Sort=A","Dates=H","DateFormat=P","Fill=—","Direction=H","UseDPDF=Y")</f>
        <v>5.2229999999999999</v>
      </c>
      <c r="D8" s="13">
        <f>_xll.BDH("AMZN US Equity","CF_DEPR_AMORT","FQ2 1999","FQ2 1999","Currency=USD","Period=FQ","BEST_FPERIOD_OVERRIDE=FQ","FILING_STATUS=OR","SCALING_FORMAT=MLN","Sort=A","Dates=H","DateFormat=P","Fill=—","Direction=H","UseDPDF=Y")</f>
        <v>8.1020000000000003</v>
      </c>
      <c r="E8" s="13">
        <f>_xll.BDH("AMZN US Equity","CF_DEPR_AMORT","FQ3 1999","FQ3 1999","Currency=USD","Period=FQ","BEST_FPERIOD_OVERRIDE=FQ","FILING_STATUS=OR","SCALING_FORMAT=MLN","Sort=A","Dates=H","DateFormat=P","Fill=—","Direction=H","UseDPDF=Y")</f>
        <v>95.742000000000004</v>
      </c>
      <c r="F8" s="13">
        <f>_xll.BDH("AMZN US Equity","CF_DEPR_AMORT","FQ4 1999","FQ4 1999","Currency=USD","Period=FQ","BEST_FPERIOD_OVERRIDE=FQ","FILING_STATUS=OR","SCALING_FORMAT=MLN","Sort=A","Dates=H","DateFormat=P","Fill=—","Direction=H","UseDPDF=Y")</f>
        <v>173.05099999999999</v>
      </c>
      <c r="G8" s="13">
        <f>_xll.BDH("AMZN US Equity","CF_DEPR_AMORT","FQ1 2000","FQ1 2000","Currency=USD","Period=FQ","BEST_FPERIOD_OVERRIDE=FQ","FILING_STATUS=OR","SCALING_FORMAT=MLN","Sort=A","Dates=H","DateFormat=P","Fill=—","Direction=H","UseDPDF=Y")</f>
        <v>114.78700000000001</v>
      </c>
      <c r="H8" s="13">
        <f>_xll.BDH("AMZN US Equity","CF_DEPR_AMORT","FQ2 2000","FQ2 2000","Currency=USD","Period=FQ","BEST_FPERIOD_OVERRIDE=FQ","FILING_STATUS=OR","SCALING_FORMAT=MLN","Sort=A","Dates=H","DateFormat=P","Fill=—","Direction=H","UseDPDF=Y")</f>
        <v>109.261</v>
      </c>
      <c r="I8" s="13">
        <f>_xll.BDH("AMZN US Equity","CF_DEPR_AMORT","FQ3 2000","FQ3 2000","Currency=USD","Period=FQ","BEST_FPERIOD_OVERRIDE=FQ","FILING_STATUS=OR","SCALING_FORMAT=MLN","Sort=A","Dates=H","DateFormat=P","Fill=—","Direction=H","UseDPDF=Y")</f>
        <v>106.142</v>
      </c>
      <c r="J8" s="13">
        <f>_xll.BDH("AMZN US Equity","CF_DEPR_AMORT","FQ4 2000","FQ4 2000","Currency=USD","Period=FQ","BEST_FPERIOD_OVERRIDE=FQ","FILING_STATUS=OR","SCALING_FORMAT=MLN","Sort=A","Dates=H","DateFormat=P","Fill=—","Direction=H","UseDPDF=Y")</f>
        <v>76.042000000000002</v>
      </c>
      <c r="K8" s="13">
        <f>_xll.BDH("AMZN US Equity","CF_DEPR_AMORT","FQ1 2001","FQ1 2001","Currency=USD","Period=FQ","BEST_FPERIOD_OVERRIDE=FQ","FILING_STATUS=OR","SCALING_FORMAT=MLN","Sort=A","Dates=H","DateFormat=P","Fill=—","Direction=H","UseDPDF=Y")</f>
        <v>73.903999999999996</v>
      </c>
      <c r="L8" s="13">
        <f>_xll.BDH("AMZN US Equity","CF_DEPR_AMORT","FQ2 2001","FQ2 2001","Currency=USD","Period=FQ","BEST_FPERIOD_OVERRIDE=FQ","FILING_STATUS=OR","SCALING_FORMAT=MLN","Sort=A","Dates=H","DateFormat=P","Fill=—","Direction=H","UseDPDF=Y")</f>
        <v>71.623999999999995</v>
      </c>
      <c r="M8" s="13">
        <f>_xll.BDH("AMZN US Equity","CF_DEPR_AMORT","FQ3 2001","FQ3 2001","Currency=USD","Period=FQ","BEST_FPERIOD_OVERRIDE=FQ","FILING_STATUS=OR","SCALING_FORMAT=MLN","Sort=A","Dates=H","DateFormat=P","Fill=—","Direction=H","UseDPDF=Y")</f>
        <v>61.63</v>
      </c>
      <c r="N8" s="13">
        <f>_xll.BDH("AMZN US Equity","CF_DEPR_AMORT","FQ4 2001","FQ4 2001","Currency=USD","Period=FQ","BEST_FPERIOD_OVERRIDE=FQ","FILING_STATUS=OR","SCALING_FORMAT=MLN","Sort=A","Dates=H","DateFormat=P","Fill=—","Direction=H","UseDPDF=Y")</f>
        <v>58.584000000000003</v>
      </c>
      <c r="O8" s="13">
        <f>_xll.BDH("AMZN US Equity","CF_DEPR_AMORT","FQ1 2002","FQ1 2002","Currency=USD","Period=FQ","BEST_FPERIOD_OVERRIDE=FQ","FILING_STATUS=OR","SCALING_FORMAT=MLN","Sort=A","Dates=H","DateFormat=P","Fill=—","Direction=H","UseDPDF=Y")</f>
        <v>22.91</v>
      </c>
      <c r="P8" s="13">
        <f>_xll.BDH("AMZN US Equity","CF_DEPR_AMORT","FQ2 2002","FQ2 2002","Currency=USD","Period=FQ","BEST_FPERIOD_OVERRIDE=FQ","FILING_STATUS=OR","SCALING_FORMAT=MLN","Sort=A","Dates=H","DateFormat=P","Fill=—","Direction=H","UseDPDF=Y")</f>
        <v>22.344000000000001</v>
      </c>
      <c r="Q8" s="13">
        <f>_xll.BDH("AMZN US Equity","CF_DEPR_AMORT","FQ3 2002","FQ3 2002","Currency=USD","Period=FQ","BEST_FPERIOD_OVERRIDE=FQ","FILING_STATUS=OR","SCALING_FORMAT=MLN","Sort=A","Dates=H","DateFormat=P","Fill=—","Direction=H","UseDPDF=Y")</f>
        <v>21.713000000000001</v>
      </c>
      <c r="R8" s="13">
        <f>_xll.BDH("AMZN US Equity","CF_DEPR_AMORT","FQ4 2002","FQ4 2002","Currency=USD","Period=FQ","BEST_FPERIOD_OVERRIDE=FQ","FILING_STATUS=OR","SCALING_FORMAT=MLN","Sort=A","Dates=H","DateFormat=P","Fill=—","Direction=H","UseDPDF=Y")</f>
        <v>20.776</v>
      </c>
      <c r="S8" s="13">
        <f>_xll.BDH("AMZN US Equity","CF_DEPR_AMORT","FQ1 2003","FQ1 2003","Currency=USD","Period=FQ","BEST_FPERIOD_OVERRIDE=FQ","FILING_STATUS=OR","SCALING_FORMAT=MLN","Sort=A","Dates=H","DateFormat=P","Fill=—","Direction=H","UseDPDF=Y")</f>
        <v>19.75</v>
      </c>
      <c r="T8" s="13">
        <f>_xll.BDH("AMZN US Equity","CF_DEPR_AMORT","FQ2 2003","FQ2 2003","Currency=USD","Period=FQ","BEST_FPERIOD_OVERRIDE=FQ","FILING_STATUS=OR","SCALING_FORMAT=MLN","Sort=A","Dates=H","DateFormat=P","Fill=—","Direction=H","UseDPDF=Y")</f>
        <v>19.003</v>
      </c>
      <c r="U8" s="13">
        <f>_xll.BDH("AMZN US Equity","CF_DEPR_AMORT","FQ3 2003","FQ3 2003","Currency=USD","Period=FQ","BEST_FPERIOD_OVERRIDE=FQ","FILING_STATUS=OR","SCALING_FORMAT=MLN","Sort=A","Dates=H","DateFormat=P","Fill=—","Direction=H","UseDPDF=Y")</f>
        <v>18.338000000000001</v>
      </c>
      <c r="V8" s="13">
        <f>_xll.BDH("AMZN US Equity","CF_DEPR_AMORT","FQ4 2003","FQ4 2003","Currency=USD","Period=FQ","BEST_FPERIOD_OVERRIDE=FQ","FILING_STATUS=OR","SCALING_FORMAT=MLN","Sort=A","Dates=H","DateFormat=P","Fill=—","Direction=H","UseDPDF=Y")</f>
        <v>18.608000000000001</v>
      </c>
      <c r="W8" s="13">
        <f>_xll.BDH("AMZN US Equity","CF_DEPR_AMORT","FQ1 2004","FQ1 2004","Currency=USD","Period=FQ","BEST_FPERIOD_OVERRIDE=FQ","FILING_STATUS=OR","SCALING_FORMAT=MLN","Sort=A","Dates=H","DateFormat=P","Fill=—","Direction=H","UseDPDF=Y")</f>
        <v>17.681000000000001</v>
      </c>
      <c r="X8" s="13">
        <f>_xll.BDH("AMZN US Equity","CF_DEPR_AMORT","FQ2 2004","FQ2 2004","Currency=USD","Period=FQ","BEST_FPERIOD_OVERRIDE=FQ","FILING_STATUS=OR","SCALING_FORMAT=MLN","Sort=A","Dates=H","DateFormat=P","Fill=—","Direction=H","UseDPDF=Y")</f>
        <v>18.129000000000001</v>
      </c>
      <c r="Y8" s="13">
        <f>_xll.BDH("AMZN US Equity","CF_DEPR_AMORT","FQ3 2004","FQ3 2004","Currency=USD","Period=FQ","BEST_FPERIOD_OVERRIDE=FQ","FILING_STATUS=OR","SCALING_FORMAT=MLN","Sort=A","Dates=H","DateFormat=P","Fill=—","Direction=H","UseDPDF=Y")</f>
        <v>19.082999999999998</v>
      </c>
      <c r="Z8" s="13">
        <f>_xll.BDH("AMZN US Equity","CF_DEPR_AMORT","FQ4 2004","FQ4 2004","Currency=USD","Period=FQ","BEST_FPERIOD_OVERRIDE=FQ","FILING_STATUS=OR","SCALING_FORMAT=MLN","Sort=A","Dates=H","DateFormat=P","Fill=—","Direction=H","UseDPDF=Y")</f>
        <v>20.831</v>
      </c>
      <c r="AA8" s="13">
        <f>_xll.BDH("AMZN US Equity","CF_DEPR_AMORT","FQ1 2005","FQ1 2005","Currency=USD","Period=FQ","BEST_FPERIOD_OVERRIDE=FQ","FILING_STATUS=OR","SCALING_FORMAT=MLN","Sort=A","Dates=H","DateFormat=P","Fill=—","Direction=H","UseDPDF=Y")</f>
        <v>28</v>
      </c>
      <c r="AB8" s="13">
        <f>_xll.BDH("AMZN US Equity","CF_DEPR_AMORT","FQ2 2005","FQ2 2005","Currency=USD","Period=FQ","BEST_FPERIOD_OVERRIDE=FQ","FILING_STATUS=OR","SCALING_FORMAT=MLN","Sort=A","Dates=H","DateFormat=P","Fill=—","Direction=H","UseDPDF=Y")</f>
        <v>26</v>
      </c>
      <c r="AC8" s="13">
        <f>_xll.BDH("AMZN US Equity","CF_DEPR_AMORT","FQ3 2005","FQ3 2005","Currency=USD","Period=FQ","BEST_FPERIOD_OVERRIDE=FQ","FILING_STATUS=OR","SCALING_FORMAT=MLN","Sort=A","Dates=H","DateFormat=P","Fill=—","Direction=H","UseDPDF=Y")</f>
        <v>30</v>
      </c>
      <c r="AD8" s="13">
        <f>_xll.BDH("AMZN US Equity","CF_DEPR_AMORT","FQ4 2005","FQ4 2005","Currency=USD","Period=FQ","BEST_FPERIOD_OVERRIDE=FQ","FILING_STATUS=OR","SCALING_FORMAT=MLN","Sort=A","Dates=H","DateFormat=P","Fill=—","Direction=H","UseDPDF=Y")</f>
        <v>37</v>
      </c>
      <c r="AE8" s="13">
        <f>_xll.BDH("AMZN US Equity","CF_DEPR_AMORT","FQ1 2006","FQ1 2006","Currency=USD","Period=FQ","BEST_FPERIOD_OVERRIDE=FQ","FILING_STATUS=OR","SCALING_FORMAT=MLN","Sort=A","Dates=H","DateFormat=P","Fill=—","Direction=H","UseDPDF=Y")</f>
        <v>40</v>
      </c>
      <c r="AF8" s="13">
        <f>_xll.BDH("AMZN US Equity","CF_DEPR_AMORT","FQ2 2006","FQ2 2006","Currency=USD","Period=FQ","BEST_FPERIOD_OVERRIDE=FQ","FILING_STATUS=OR","SCALING_FORMAT=MLN","Sort=A","Dates=H","DateFormat=P","Fill=—","Direction=H","UseDPDF=Y")</f>
        <v>43</v>
      </c>
      <c r="AG8" s="13">
        <f>_xll.BDH("AMZN US Equity","CF_DEPR_AMORT","FQ3 2006","FQ3 2006","Currency=USD","Period=FQ","BEST_FPERIOD_OVERRIDE=FQ","FILING_STATUS=OR","SCALING_FORMAT=MLN","Sort=A","Dates=H","DateFormat=P","Fill=—","Direction=H","UseDPDF=Y")</f>
        <v>63</v>
      </c>
      <c r="AH8" s="13">
        <f>_xll.BDH("AMZN US Equity","CF_DEPR_AMORT","FQ4 2006","FQ4 2006","Currency=USD","Period=FQ","BEST_FPERIOD_OVERRIDE=FQ","FILING_STATUS=OR","SCALING_FORMAT=MLN","Sort=A","Dates=H","DateFormat=P","Fill=—","Direction=H","UseDPDF=Y")</f>
        <v>59</v>
      </c>
      <c r="AI8" s="13">
        <f>_xll.BDH("AMZN US Equity","CF_DEPR_AMORT","FQ1 2007","FQ1 2007","Currency=USD","Period=FQ","BEST_FPERIOD_OVERRIDE=FQ","FILING_STATUS=OR","SCALING_FORMAT=MLN","Sort=A","Dates=H","DateFormat=P","Fill=—","Direction=H","UseDPDF=Y")</f>
        <v>62</v>
      </c>
      <c r="AJ8" s="13">
        <f>_xll.BDH("AMZN US Equity","CF_DEPR_AMORT","FQ2 2007","FQ2 2007","Currency=USD","Period=FQ","BEST_FPERIOD_OVERRIDE=FQ","FILING_STATUS=OR","SCALING_FORMAT=MLN","Sort=A","Dates=H","DateFormat=P","Fill=—","Direction=H","UseDPDF=Y")</f>
        <v>60</v>
      </c>
      <c r="AK8" s="13">
        <f>_xll.BDH("AMZN US Equity","CF_DEPR_AMORT","FQ3 2007","FQ3 2007","Currency=USD","Period=FQ","BEST_FPERIOD_OVERRIDE=FQ","FILING_STATUS=OR","SCALING_FORMAT=MLN","Sort=A","Dates=H","DateFormat=P","Fill=—","Direction=H","UseDPDF=Y")</f>
        <v>61</v>
      </c>
      <c r="AL8" s="13">
        <f>_xll.BDH("AMZN US Equity","CF_DEPR_AMORT","FQ4 2007","FQ4 2007","Currency=USD","Period=FQ","BEST_FPERIOD_OVERRIDE=FQ","FILING_STATUS=OR","SCALING_FORMAT=MLN","Sort=A","Dates=H","DateFormat=P","Fill=—","Direction=H","UseDPDF=Y")</f>
        <v>63</v>
      </c>
      <c r="AM8" s="13">
        <f>_xll.BDH("AMZN US Equity","CF_DEPR_AMORT","FQ1 2008","FQ1 2008","Currency=USD","Period=FQ","BEST_FPERIOD_OVERRIDE=FQ","FILING_STATUS=OR","SCALING_FORMAT=MLN","Sort=A","Dates=H","DateFormat=P","Fill=—","Direction=H","UseDPDF=Y")</f>
        <v>65</v>
      </c>
      <c r="AN8" s="13">
        <f>_xll.BDH("AMZN US Equity","CF_DEPR_AMORT","FQ2 2008","FQ2 2008","Currency=USD","Period=FQ","BEST_FPERIOD_OVERRIDE=FQ","FILING_STATUS=OR","SCALING_FORMAT=MLN","Sort=A","Dates=H","DateFormat=P","Fill=—","Direction=H","UseDPDF=Y")</f>
        <v>70</v>
      </c>
      <c r="AO8" s="13">
        <f>_xll.BDH("AMZN US Equity","CF_DEPR_AMORT","FQ3 2008","FQ3 2008","Currency=USD","Period=FQ","BEST_FPERIOD_OVERRIDE=FQ","FILING_STATUS=OR","SCALING_FORMAT=MLN","Sort=A","Dates=H","DateFormat=P","Fill=—","Direction=H","UseDPDF=Y")</f>
        <v>76</v>
      </c>
      <c r="AP8" s="13">
        <f>_xll.BDH("AMZN US Equity","CF_DEPR_AMORT","FQ4 2008","FQ4 2008","Currency=USD","Period=FQ","BEST_FPERIOD_OVERRIDE=FQ","FILING_STATUS=OR","SCALING_FORMAT=MLN","Sort=A","Dates=H","DateFormat=P","Fill=—","Direction=H","UseDPDF=Y")</f>
        <v>77</v>
      </c>
    </row>
    <row r="9" spans="1:42" x14ac:dyDescent="0.25">
      <c r="A9" s="10" t="s">
        <v>305</v>
      </c>
      <c r="B9" s="10" t="s">
        <v>306</v>
      </c>
      <c r="C9" s="13">
        <f>_xll.BDH("AMZN US Equity","NON_CASH_ITEMS_DETAILED","FQ1 1999","FQ1 1999","Currency=USD","Period=FQ","BEST_FPERIOD_OVERRIDE=FQ","FILING_STATUS=OR","SCALING_FORMAT=MLN","Sort=A","Dates=H","DateFormat=P","Fill=—","Direction=H","UseDPDF=Y")</f>
        <v>46.546999999999997</v>
      </c>
      <c r="D9" s="13">
        <f>_xll.BDH("AMZN US Equity","NON_CASH_ITEMS_DETAILED","FQ2 1999","FQ2 1999","Currency=USD","Period=FQ","BEST_FPERIOD_OVERRIDE=FQ","FILING_STATUS=OR","SCALING_FORMAT=MLN","Sort=A","Dates=H","DateFormat=P","Fill=—","Direction=H","UseDPDF=Y")</f>
        <v>61.973999999999997</v>
      </c>
      <c r="E9" s="13">
        <f>_xll.BDH("AMZN US Equity","NON_CASH_ITEMS_DETAILED","FQ3 1999","FQ3 1999","Currency=USD","Period=FQ","BEST_FPERIOD_OVERRIDE=FQ","FILING_STATUS=OR","SCALING_FORMAT=MLN","Sort=A","Dates=H","DateFormat=P","Fill=—","Direction=H","UseDPDF=Y")</f>
        <v>29.373999999999999</v>
      </c>
      <c r="F9" s="13">
        <f>_xll.BDH("AMZN US Equity","NON_CASH_ITEMS_DETAILED","FQ4 1999","FQ4 1999","Currency=USD","Period=FQ","BEST_FPERIOD_OVERRIDE=FQ","FILING_STATUS=OR","SCALING_FORMAT=MLN","Sort=A","Dates=H","DateFormat=P","Fill=—","Direction=H","UseDPDF=Y")</f>
        <v>-21.032</v>
      </c>
      <c r="G9" s="13">
        <f>_xll.BDH("AMZN US Equity","NON_CASH_ITEMS_DETAILED","FQ1 2000","FQ1 2000","Currency=USD","Period=FQ","BEST_FPERIOD_OVERRIDE=FQ","FILING_STATUS=OR","SCALING_FORMAT=MLN","Sort=A","Dates=H","DateFormat=P","Fill=—","Direction=H","UseDPDF=Y")</f>
        <v>75.078999999999994</v>
      </c>
      <c r="H9" s="13">
        <f>_xll.BDH("AMZN US Equity","NON_CASH_ITEMS_DETAILED","FQ2 2000","FQ2 2000","Currency=USD","Period=FQ","BEST_FPERIOD_OVERRIDE=FQ","FILING_STATUS=OR","SCALING_FORMAT=MLN","Sort=A","Dates=H","DateFormat=P","Fill=—","Direction=H","UseDPDF=Y")</f>
        <v>100.554</v>
      </c>
      <c r="I9" s="13">
        <f>_xll.BDH("AMZN US Equity","NON_CASH_ITEMS_DETAILED","FQ3 2000","FQ3 2000","Currency=USD","Period=FQ","BEST_FPERIOD_OVERRIDE=FQ","FILING_STATUS=OR","SCALING_FORMAT=MLN","Sort=A","Dates=H","DateFormat=P","Fill=—","Direction=H","UseDPDF=Y")</f>
        <v>101.364</v>
      </c>
      <c r="J9" s="13">
        <f>_xll.BDH("AMZN US Equity","NON_CASH_ITEMS_DETAILED","FQ4 2000","FQ4 2000","Currency=USD","Period=FQ","BEST_FPERIOD_OVERRIDE=FQ","FILING_STATUS=OR","SCALING_FORMAT=MLN","Sort=A","Dates=H","DateFormat=P","Fill=—","Direction=H","UseDPDF=Y")</f>
        <v>326.30200000000002</v>
      </c>
      <c r="K9" s="13">
        <f>_xll.BDH("AMZN US Equity","NON_CASH_ITEMS_DETAILED","FQ1 2001","FQ1 2001","Currency=USD","Period=FQ","BEST_FPERIOD_OVERRIDE=FQ","FILING_STATUS=OR","SCALING_FORMAT=MLN","Sort=A","Dates=H","DateFormat=P","Fill=—","Direction=H","UseDPDF=Y")</f>
        <v>27.968</v>
      </c>
      <c r="L9" s="13">
        <f>_xll.BDH("AMZN US Equity","NON_CASH_ITEMS_DETAILED","FQ2 2001","FQ2 2001","Currency=USD","Period=FQ","BEST_FPERIOD_OVERRIDE=FQ","FILING_STATUS=OR","SCALING_FORMAT=MLN","Sort=A","Dates=H","DateFormat=P","Fill=—","Direction=H","UseDPDF=Y")</f>
        <v>-17.132000000000001</v>
      </c>
      <c r="M9" s="13">
        <f>_xll.BDH("AMZN US Equity","NON_CASH_ITEMS_DETAILED","FQ3 2001","FQ3 2001","Currency=USD","Period=FQ","BEST_FPERIOD_OVERRIDE=FQ","FILING_STATUS=OR","SCALING_FORMAT=MLN","Sort=A","Dates=H","DateFormat=P","Fill=—","Direction=H","UseDPDF=Y")</f>
        <v>43.304000000000002</v>
      </c>
      <c r="N9" s="13">
        <f>_xll.BDH("AMZN US Equity","NON_CASH_ITEMS_DETAILED","FQ4 2001","FQ4 2001","Currency=USD","Period=FQ","BEST_FPERIOD_OVERRIDE=FQ","FILING_STATUS=OR","SCALING_FORMAT=MLN","Sort=A","Dates=H","DateFormat=P","Fill=—","Direction=H","UseDPDF=Y")</f>
        <v>92.075000000000003</v>
      </c>
      <c r="O9" s="13">
        <f>_xll.BDH("AMZN US Equity","NON_CASH_ITEMS_DETAILED","FQ1 2002","FQ1 2002","Currency=USD","Period=FQ","BEST_FPERIOD_OVERRIDE=FQ","FILING_STATUS=OR","SCALING_FORMAT=MLN","Sort=A","Dates=H","DateFormat=P","Fill=—","Direction=H","UseDPDF=Y")</f>
        <v>13.052</v>
      </c>
      <c r="P9" s="13">
        <f>_xll.BDH("AMZN US Equity","NON_CASH_ITEMS_DETAILED","FQ2 2002","FQ2 2002","Currency=USD","Period=FQ","BEST_FPERIOD_OVERRIDE=FQ","FILING_STATUS=OR","SCALING_FORMAT=MLN","Sort=A","Dates=H","DateFormat=P","Fill=—","Direction=H","UseDPDF=Y")</f>
        <v>94.796999999999997</v>
      </c>
      <c r="Q9" s="13">
        <f>_xll.BDH("AMZN US Equity","NON_CASH_ITEMS_DETAILED","FQ3 2002","FQ3 2002","Currency=USD","Period=FQ","BEST_FPERIOD_OVERRIDE=FQ","FILING_STATUS=OR","SCALING_FORMAT=MLN","Sort=A","Dates=H","DateFormat=P","Fill=—","Direction=H","UseDPDF=Y")</f>
        <v>4.7249999999999996</v>
      </c>
      <c r="R9" s="13">
        <f>_xll.BDH("AMZN US Equity","NON_CASH_ITEMS_DETAILED","FQ4 2002","FQ4 2002","Currency=USD","Period=FQ","BEST_FPERIOD_OVERRIDE=FQ","FILING_STATUS=OR","SCALING_FORMAT=MLN","Sort=A","Dates=H","DateFormat=P","Fill=—","Direction=H","UseDPDF=Y")</f>
        <v>83.358999999999995</v>
      </c>
      <c r="S9" s="13">
        <f>_xll.BDH("AMZN US Equity","NON_CASH_ITEMS_DETAILED","FQ1 2003","FQ1 2003","Currency=USD","Period=FQ","BEST_FPERIOD_OVERRIDE=FQ","FILING_STATUS=OR","SCALING_FORMAT=MLN","Sort=A","Dates=H","DateFormat=P","Fill=—","Direction=H","UseDPDF=Y")</f>
        <v>54.366</v>
      </c>
      <c r="T9" s="13">
        <f>_xll.BDH("AMZN US Equity","NON_CASH_ITEMS_DETAILED","FQ2 2003","FQ2 2003","Currency=USD","Period=FQ","BEST_FPERIOD_OVERRIDE=FQ","FILING_STATUS=OR","SCALING_FORMAT=MLN","Sort=A","Dates=H","DateFormat=P","Fill=—","Direction=H","UseDPDF=Y")</f>
        <v>83.841999999999999</v>
      </c>
      <c r="U9" s="13">
        <f>_xll.BDH("AMZN US Equity","NON_CASH_ITEMS_DETAILED","FQ3 2003","FQ3 2003","Currency=USD","Period=FQ","BEST_FPERIOD_OVERRIDE=FQ","FILING_STATUS=OR","SCALING_FORMAT=MLN","Sort=A","Dates=H","DateFormat=P","Fill=—","Direction=H","UseDPDF=Y")</f>
        <v>34.066000000000003</v>
      </c>
      <c r="V9" s="13">
        <f>_xll.BDH("AMZN US Equity","NON_CASH_ITEMS_DETAILED","FQ4 2003","FQ4 2003","Currency=USD","Period=FQ","BEST_FPERIOD_OVERRIDE=FQ","FILING_STATUS=OR","SCALING_FORMAT=MLN","Sort=A","Dates=H","DateFormat=P","Fill=—","Direction=H","UseDPDF=Y")</f>
        <v>51.505000000000003</v>
      </c>
      <c r="W9" s="13">
        <f>_xll.BDH("AMZN US Equity","NON_CASH_ITEMS_DETAILED","FQ1 2004","FQ1 2004","Currency=USD","Period=FQ","BEST_FPERIOD_OVERRIDE=FQ","FILING_STATUS=OR","SCALING_FORMAT=MLN","Sort=A","Dates=H","DateFormat=P","Fill=—","Direction=H","UseDPDF=Y")</f>
        <v>-13.733000000000001</v>
      </c>
      <c r="X9" s="13">
        <f>_xll.BDH("AMZN US Equity","NON_CASH_ITEMS_DETAILED","FQ2 2004","FQ2 2004","Currency=USD","Period=FQ","BEST_FPERIOD_OVERRIDE=FQ","FILING_STATUS=OR","SCALING_FORMAT=MLN","Sort=A","Dates=H","DateFormat=P","Fill=—","Direction=H","UseDPDF=Y")</f>
        <v>-0.56999999999999995</v>
      </c>
      <c r="Y9" s="13">
        <f>_xll.BDH("AMZN US Equity","NON_CASH_ITEMS_DETAILED","FQ3 2004","FQ3 2004","Currency=USD","Period=FQ","BEST_FPERIOD_OVERRIDE=FQ","FILING_STATUS=OR","SCALING_FORMAT=MLN","Sort=A","Dates=H","DateFormat=P","Fill=—","Direction=H","UseDPDF=Y")</f>
        <v>20.58</v>
      </c>
      <c r="Z9" s="13">
        <f>_xll.BDH("AMZN US Equity","NON_CASH_ITEMS_DETAILED","FQ4 2004","FQ4 2004","Currency=USD","Period=FQ","BEST_FPERIOD_OVERRIDE=FQ","FILING_STATUS=OR","SCALING_FORMAT=MLN","Sort=A","Dates=H","DateFormat=P","Fill=—","Direction=H","UseDPDF=Y")</f>
        <v>-208.24100000000001</v>
      </c>
      <c r="AA9" s="13">
        <f>_xll.BDH("AMZN US Equity","NON_CASH_ITEMS_DETAILED","FQ1 2005","FQ1 2005","Currency=USD","Period=FQ","BEST_FPERIOD_OVERRIDE=FQ","FILING_STATUS=OR","SCALING_FORMAT=MLN","Sort=A","Dates=H","DateFormat=P","Fill=—","Direction=H","UseDPDF=Y")</f>
        <v>31</v>
      </c>
      <c r="AB9" s="13">
        <f>_xll.BDH("AMZN US Equity","NON_CASH_ITEMS_DETAILED","FQ2 2005","FQ2 2005","Currency=USD","Period=FQ","BEST_FPERIOD_OVERRIDE=FQ","FILING_STATUS=OR","SCALING_FORMAT=MLN","Sort=A","Dates=H","DateFormat=P","Fill=—","Direction=H","UseDPDF=Y")</f>
        <v>55</v>
      </c>
      <c r="AC9" s="13">
        <f>_xll.BDH("AMZN US Equity","NON_CASH_ITEMS_DETAILED","FQ3 2005","FQ3 2005","Currency=USD","Period=FQ","BEST_FPERIOD_OVERRIDE=FQ","FILING_STATUS=OR","SCALING_FORMAT=MLN","Sort=A","Dates=H","DateFormat=P","Fill=—","Direction=H","UseDPDF=Y")</f>
        <v>44</v>
      </c>
      <c r="AD9" s="13">
        <f>_xll.BDH("AMZN US Equity","NON_CASH_ITEMS_DETAILED","FQ4 2005","FQ4 2005","Currency=USD","Period=FQ","BEST_FPERIOD_OVERRIDE=FQ","FILING_STATUS=OR","SCALING_FORMAT=MLN","Sort=A","Dates=H","DateFormat=P","Fill=—","Direction=H","UseDPDF=Y")</f>
        <v>59</v>
      </c>
      <c r="AE9" s="13">
        <f>_xll.BDH("AMZN US Equity","NON_CASH_ITEMS_DETAILED","FQ1 2006","FQ1 2006","Currency=USD","Period=FQ","BEST_FPERIOD_OVERRIDE=FQ","FILING_STATUS=OR","SCALING_FORMAT=MLN","Sort=A","Dates=H","DateFormat=P","Fill=—","Direction=H","UseDPDF=Y")</f>
        <v>30</v>
      </c>
      <c r="AF9" s="13">
        <f>_xll.BDH("AMZN US Equity","NON_CASH_ITEMS_DETAILED","FQ2 2006","FQ2 2006","Currency=USD","Period=FQ","BEST_FPERIOD_OVERRIDE=FQ","FILING_STATUS=OR","SCALING_FORMAT=MLN","Sort=A","Dates=H","DateFormat=P","Fill=—","Direction=H","UseDPDF=Y")</f>
        <v>19</v>
      </c>
      <c r="AG9" s="13">
        <f>_xll.BDH("AMZN US Equity","NON_CASH_ITEMS_DETAILED","FQ3 2006","FQ3 2006","Currency=USD","Period=FQ","BEST_FPERIOD_OVERRIDE=FQ","FILING_STATUS=OR","SCALING_FORMAT=MLN","Sort=A","Dates=H","DateFormat=P","Fill=—","Direction=H","UseDPDF=Y")</f>
        <v>36</v>
      </c>
      <c r="AH9" s="13">
        <f>_xll.BDH("AMZN US Equity","NON_CASH_ITEMS_DETAILED","FQ4 2006","FQ4 2006","Currency=USD","Period=FQ","BEST_FPERIOD_OVERRIDE=FQ","FILING_STATUS=OR","SCALING_FORMAT=MLN","Sort=A","Dates=H","DateFormat=P","Fill=—","Direction=H","UseDPDF=Y")</f>
        <v>-62</v>
      </c>
      <c r="AI9" s="13">
        <f>_xll.BDH("AMZN US Equity","NON_CASH_ITEMS_DETAILED","FQ1 2007","FQ1 2007","Currency=USD","Period=FQ","BEST_FPERIOD_OVERRIDE=FQ","FILING_STATUS=OR","SCALING_FORMAT=MLN","Sort=A","Dates=H","DateFormat=P","Fill=—","Direction=H","UseDPDF=Y")</f>
        <v>15</v>
      </c>
      <c r="AJ9" s="13">
        <f>_xll.BDH("AMZN US Equity","NON_CASH_ITEMS_DETAILED","FQ2 2007","FQ2 2007","Currency=USD","Period=FQ","BEST_FPERIOD_OVERRIDE=FQ","FILING_STATUS=OR","SCALING_FORMAT=MLN","Sort=A","Dates=H","DateFormat=P","Fill=—","Direction=H","UseDPDF=Y")</f>
        <v>17</v>
      </c>
      <c r="AK9" s="13">
        <f>_xll.BDH("AMZN US Equity","NON_CASH_ITEMS_DETAILED","FQ3 2007","FQ3 2007","Currency=USD","Period=FQ","BEST_FPERIOD_OVERRIDE=FQ","FILING_STATUS=OR","SCALING_FORMAT=MLN","Sort=A","Dates=H","DateFormat=P","Fill=—","Direction=H","UseDPDF=Y")</f>
        <v>21</v>
      </c>
      <c r="AL9" s="13">
        <f>_xll.BDH("AMZN US Equity","NON_CASH_ITEMS_DETAILED","FQ4 2007","FQ4 2007","Currency=USD","Period=FQ","BEST_FPERIOD_OVERRIDE=FQ","FILING_STATUS=OR","SCALING_FORMAT=MLN","Sort=A","Dates=H","DateFormat=P","Fill=—","Direction=H","UseDPDF=Y")</f>
        <v>-204</v>
      </c>
      <c r="AM9" s="13">
        <f>_xll.BDH("AMZN US Equity","NON_CASH_ITEMS_DETAILED","FQ1 2008","FQ1 2008","Currency=USD","Period=FQ","BEST_FPERIOD_OVERRIDE=FQ","FILING_STATUS=OR","SCALING_FORMAT=MLN","Sort=A","Dates=H","DateFormat=P","Fill=—","Direction=H","UseDPDF=Y")</f>
        <v>-27</v>
      </c>
      <c r="AN9" s="13">
        <f>_xll.BDH("AMZN US Equity","NON_CASH_ITEMS_DETAILED","FQ2 2008","FQ2 2008","Currency=USD","Period=FQ","BEST_FPERIOD_OVERRIDE=FQ","FILING_STATUS=OR","SCALING_FORMAT=MLN","Sort=A","Dates=H","DateFormat=P","Fill=—","Direction=H","UseDPDF=Y")</f>
        <v>-16</v>
      </c>
      <c r="AO9" s="13">
        <f>_xll.BDH("AMZN US Equity","NON_CASH_ITEMS_DETAILED","FQ3 2008","FQ3 2008","Currency=USD","Period=FQ","BEST_FPERIOD_OVERRIDE=FQ","FILING_STATUS=OR","SCALING_FORMAT=MLN","Sort=A","Dates=H","DateFormat=P","Fill=—","Direction=H","UseDPDF=Y")</f>
        <v>-16</v>
      </c>
      <c r="AP9" s="13">
        <f>_xll.BDH("AMZN US Equity","NON_CASH_ITEMS_DETAILED","FQ4 2008","FQ4 2008","Currency=USD","Period=FQ","BEST_FPERIOD_OVERRIDE=FQ","FILING_STATUS=OR","SCALING_FORMAT=MLN","Sort=A","Dates=H","DateFormat=P","Fill=—","Direction=H","UseDPDF=Y")</f>
        <v>112</v>
      </c>
    </row>
    <row r="10" spans="1:42" x14ac:dyDescent="0.25">
      <c r="A10" s="10" t="s">
        <v>307</v>
      </c>
      <c r="B10" s="10" t="s">
        <v>308</v>
      </c>
      <c r="C10" s="13" t="str">
        <f>_xll.BDH("AMZN US Equity","CF_STOCK_BASED_COMPENSATION","FQ1 1999","FQ1 1999","Currency=USD","Period=FQ","BEST_FPERIOD_OVERRIDE=FQ","FILING_STATUS=OR","SCALING_FORMAT=MLN","Sort=A","Dates=H","DateFormat=P","Fill=—","Direction=H","UseDPDF=Y")</f>
        <v>—</v>
      </c>
      <c r="D10" s="13" t="str">
        <f>_xll.BDH("AMZN US Equity","CF_STOCK_BASED_COMPENSATION","FQ2 1999","FQ2 1999","Currency=USD","Period=FQ","BEST_FPERIOD_OVERRIDE=FQ","FILING_STATUS=OR","SCALING_FORMAT=MLN","Sort=A","Dates=H","DateFormat=P","Fill=—","Direction=H","UseDPDF=Y")</f>
        <v>—</v>
      </c>
      <c r="E10" s="13" t="str">
        <f>_xll.BDH("AMZN US Equity","CF_STOCK_BASED_COMPENSATION","FQ3 1999","FQ3 1999","Currency=USD","Period=FQ","BEST_FPERIOD_OVERRIDE=FQ","FILING_STATUS=OR","SCALING_FORMAT=MLN","Sort=A","Dates=H","DateFormat=P","Fill=—","Direction=H","UseDPDF=Y")</f>
        <v>—</v>
      </c>
      <c r="F10" s="13" t="str">
        <f>_xll.BDH("AMZN US Equity","CF_STOCK_BASED_COMPENSATION","FQ4 1999","FQ4 1999","Currency=USD","Period=FQ","BEST_FPERIOD_OVERRIDE=FQ","FILING_STATUS=OR","SCALING_FORMAT=MLN","Sort=A","Dates=H","DateFormat=P","Fill=—","Direction=H","UseDPDF=Y")</f>
        <v>—</v>
      </c>
      <c r="G10" s="13" t="str">
        <f>_xll.BDH("AMZN US Equity","CF_STOCK_BASED_COMPENSATION","FQ1 2000","FQ1 2000","Currency=USD","Period=FQ","BEST_FPERIOD_OVERRIDE=FQ","FILING_STATUS=OR","SCALING_FORMAT=MLN","Sort=A","Dates=H","DateFormat=P","Fill=—","Direction=H","UseDPDF=Y")</f>
        <v>—</v>
      </c>
      <c r="H10" s="13" t="str">
        <f>_xll.BDH("AMZN US Equity","CF_STOCK_BASED_COMPENSATION","FQ2 2000","FQ2 2000","Currency=USD","Period=FQ","BEST_FPERIOD_OVERRIDE=FQ","FILING_STATUS=OR","SCALING_FORMAT=MLN","Sort=A","Dates=H","DateFormat=P","Fill=—","Direction=H","UseDPDF=Y")</f>
        <v>—</v>
      </c>
      <c r="I10" s="13" t="str">
        <f>_xll.BDH("AMZN US Equity","CF_STOCK_BASED_COMPENSATION","FQ3 2000","FQ3 2000","Currency=USD","Period=FQ","BEST_FPERIOD_OVERRIDE=FQ","FILING_STATUS=OR","SCALING_FORMAT=MLN","Sort=A","Dates=H","DateFormat=P","Fill=—","Direction=H","UseDPDF=Y")</f>
        <v>—</v>
      </c>
      <c r="J10" s="13" t="str">
        <f>_xll.BDH("AMZN US Equity","CF_STOCK_BASED_COMPENSATION","FQ4 2000","FQ4 2000","Currency=USD","Period=FQ","BEST_FPERIOD_OVERRIDE=FQ","FILING_STATUS=OR","SCALING_FORMAT=MLN","Sort=A","Dates=H","DateFormat=P","Fill=—","Direction=H","UseDPDF=Y")</f>
        <v>—</v>
      </c>
      <c r="K10" s="13" t="str">
        <f>_xll.BDH("AMZN US Equity","CF_STOCK_BASED_COMPENSATION","FQ1 2001","FQ1 2001","Currency=USD","Period=FQ","BEST_FPERIOD_OVERRIDE=FQ","FILING_STATUS=OR","SCALING_FORMAT=MLN","Sort=A","Dates=H","DateFormat=P","Fill=—","Direction=H","UseDPDF=Y")</f>
        <v>—</v>
      </c>
      <c r="L10" s="13" t="str">
        <f>_xll.BDH("AMZN US Equity","CF_STOCK_BASED_COMPENSATION","FQ2 2001","FQ2 2001","Currency=USD","Period=FQ","BEST_FPERIOD_OVERRIDE=FQ","FILING_STATUS=OR","SCALING_FORMAT=MLN","Sort=A","Dates=H","DateFormat=P","Fill=—","Direction=H","UseDPDF=Y")</f>
        <v>—</v>
      </c>
      <c r="M10" s="13" t="str">
        <f>_xll.BDH("AMZN US Equity","CF_STOCK_BASED_COMPENSATION","FQ3 2001","FQ3 2001","Currency=USD","Period=FQ","BEST_FPERIOD_OVERRIDE=FQ","FILING_STATUS=OR","SCALING_FORMAT=MLN","Sort=A","Dates=H","DateFormat=P","Fill=—","Direction=H","UseDPDF=Y")</f>
        <v>—</v>
      </c>
      <c r="N10" s="13" t="str">
        <f>_xll.BDH("AMZN US Equity","CF_STOCK_BASED_COMPENSATION","FQ4 2001","FQ4 2001","Currency=USD","Period=FQ","BEST_FPERIOD_OVERRIDE=FQ","FILING_STATUS=OR","SCALING_FORMAT=MLN","Sort=A","Dates=H","DateFormat=P","Fill=—","Direction=H","UseDPDF=Y")</f>
        <v>—</v>
      </c>
      <c r="O10" s="13" t="str">
        <f>_xll.BDH("AMZN US Equity","CF_STOCK_BASED_COMPENSATION","FQ1 2002","FQ1 2002","Currency=USD","Period=FQ","BEST_FPERIOD_OVERRIDE=FQ","FILING_STATUS=OR","SCALING_FORMAT=MLN","Sort=A","Dates=H","DateFormat=P","Fill=—","Direction=H","UseDPDF=Y")</f>
        <v>—</v>
      </c>
      <c r="P10" s="13" t="str">
        <f>_xll.BDH("AMZN US Equity","CF_STOCK_BASED_COMPENSATION","FQ2 2002","FQ2 2002","Currency=USD","Period=FQ","BEST_FPERIOD_OVERRIDE=FQ","FILING_STATUS=OR","SCALING_FORMAT=MLN","Sort=A","Dates=H","DateFormat=P","Fill=—","Direction=H","UseDPDF=Y")</f>
        <v>—</v>
      </c>
      <c r="Q10" s="13" t="str">
        <f>_xll.BDH("AMZN US Equity","CF_STOCK_BASED_COMPENSATION","FQ3 2002","FQ3 2002","Currency=USD","Period=FQ","BEST_FPERIOD_OVERRIDE=FQ","FILING_STATUS=OR","SCALING_FORMAT=MLN","Sort=A","Dates=H","DateFormat=P","Fill=—","Direction=H","UseDPDF=Y")</f>
        <v>—</v>
      </c>
      <c r="R10" s="13" t="str">
        <f>_xll.BDH("AMZN US Equity","CF_STOCK_BASED_COMPENSATION","FQ4 2002","FQ4 2002","Currency=USD","Period=FQ","BEST_FPERIOD_OVERRIDE=FQ","FILING_STATUS=OR","SCALING_FORMAT=MLN","Sort=A","Dates=H","DateFormat=P","Fill=—","Direction=H","UseDPDF=Y")</f>
        <v>—</v>
      </c>
      <c r="S10" s="13" t="str">
        <f>_xll.BDH("AMZN US Equity","CF_STOCK_BASED_COMPENSATION","FQ1 2003","FQ1 2003","Currency=USD","Period=FQ","BEST_FPERIOD_OVERRIDE=FQ","FILING_STATUS=OR","SCALING_FORMAT=MLN","Sort=A","Dates=H","DateFormat=P","Fill=—","Direction=H","UseDPDF=Y")</f>
        <v>—</v>
      </c>
      <c r="T10" s="13" t="str">
        <f>_xll.BDH("AMZN US Equity","CF_STOCK_BASED_COMPENSATION","FQ2 2003","FQ2 2003","Currency=USD","Period=FQ","BEST_FPERIOD_OVERRIDE=FQ","FILING_STATUS=OR","SCALING_FORMAT=MLN","Sort=A","Dates=H","DateFormat=P","Fill=—","Direction=H","UseDPDF=Y")</f>
        <v>—</v>
      </c>
      <c r="U10" s="13" t="str">
        <f>_xll.BDH("AMZN US Equity","CF_STOCK_BASED_COMPENSATION","FQ3 2003","FQ3 2003","Currency=USD","Period=FQ","BEST_FPERIOD_OVERRIDE=FQ","FILING_STATUS=OR","SCALING_FORMAT=MLN","Sort=A","Dates=H","DateFormat=P","Fill=—","Direction=H","UseDPDF=Y")</f>
        <v>—</v>
      </c>
      <c r="V10" s="13" t="str">
        <f>_xll.BDH("AMZN US Equity","CF_STOCK_BASED_COMPENSATION","FQ4 2003","FQ4 2003","Currency=USD","Period=FQ","BEST_FPERIOD_OVERRIDE=FQ","FILING_STATUS=OR","SCALING_FORMAT=MLN","Sort=A","Dates=H","DateFormat=P","Fill=—","Direction=H","UseDPDF=Y")</f>
        <v>—</v>
      </c>
      <c r="W10" s="13" t="str">
        <f>_xll.BDH("AMZN US Equity","CF_STOCK_BASED_COMPENSATION","FQ1 2004","FQ1 2004","Currency=USD","Period=FQ","BEST_FPERIOD_OVERRIDE=FQ","FILING_STATUS=OR","SCALING_FORMAT=MLN","Sort=A","Dates=H","DateFormat=P","Fill=—","Direction=H","UseDPDF=Y")</f>
        <v>—</v>
      </c>
      <c r="X10" s="13" t="str">
        <f>_xll.BDH("AMZN US Equity","CF_STOCK_BASED_COMPENSATION","FQ2 2004","FQ2 2004","Currency=USD","Period=FQ","BEST_FPERIOD_OVERRIDE=FQ","FILING_STATUS=OR","SCALING_FORMAT=MLN","Sort=A","Dates=H","DateFormat=P","Fill=—","Direction=H","UseDPDF=Y")</f>
        <v>—</v>
      </c>
      <c r="Y10" s="13" t="str">
        <f>_xll.BDH("AMZN US Equity","CF_STOCK_BASED_COMPENSATION","FQ3 2004","FQ3 2004","Currency=USD","Period=FQ","BEST_FPERIOD_OVERRIDE=FQ","FILING_STATUS=OR","SCALING_FORMAT=MLN","Sort=A","Dates=H","DateFormat=P","Fill=—","Direction=H","UseDPDF=Y")</f>
        <v>—</v>
      </c>
      <c r="Z10" s="13" t="str">
        <f>_xll.BDH("AMZN US Equity","CF_STOCK_BASED_COMPENSATION","FQ4 2004","FQ4 2004","Currency=USD","Period=FQ","BEST_FPERIOD_OVERRIDE=FQ","FILING_STATUS=OR","SCALING_FORMAT=MLN","Sort=A","Dates=H","DateFormat=P","Fill=—","Direction=H","UseDPDF=Y")</f>
        <v>—</v>
      </c>
      <c r="AA10" s="13" t="str">
        <f>_xll.BDH("AMZN US Equity","CF_STOCK_BASED_COMPENSATION","FQ1 2005","FQ1 2005","Currency=USD","Period=FQ","BEST_FPERIOD_OVERRIDE=FQ","FILING_STATUS=OR","SCALING_FORMAT=MLN","Sort=A","Dates=H","DateFormat=P","Fill=—","Direction=H","UseDPDF=Y")</f>
        <v>—</v>
      </c>
      <c r="AB10" s="13" t="str">
        <f>_xll.BDH("AMZN US Equity","CF_STOCK_BASED_COMPENSATION","FQ2 2005","FQ2 2005","Currency=USD","Period=FQ","BEST_FPERIOD_OVERRIDE=FQ","FILING_STATUS=OR","SCALING_FORMAT=MLN","Sort=A","Dates=H","DateFormat=P","Fill=—","Direction=H","UseDPDF=Y")</f>
        <v>—</v>
      </c>
      <c r="AC10" s="13" t="str">
        <f>_xll.BDH("AMZN US Equity","CF_STOCK_BASED_COMPENSATION","FQ3 2005","FQ3 2005","Currency=USD","Period=FQ","BEST_FPERIOD_OVERRIDE=FQ","FILING_STATUS=OR","SCALING_FORMAT=MLN","Sort=A","Dates=H","DateFormat=P","Fill=—","Direction=H","UseDPDF=Y")</f>
        <v>—</v>
      </c>
      <c r="AD10" s="13" t="str">
        <f>_xll.BDH("AMZN US Equity","CF_STOCK_BASED_COMPENSATION","FQ4 2005","FQ4 2005","Currency=USD","Period=FQ","BEST_FPERIOD_OVERRIDE=FQ","FILING_STATUS=OR","SCALING_FORMAT=MLN","Sort=A","Dates=H","DateFormat=P","Fill=—","Direction=H","UseDPDF=Y")</f>
        <v>—</v>
      </c>
      <c r="AE10" s="13" t="str">
        <f>_xll.BDH("AMZN US Equity","CF_STOCK_BASED_COMPENSATION","FQ1 2006","FQ1 2006","Currency=USD","Period=FQ","BEST_FPERIOD_OVERRIDE=FQ","FILING_STATUS=OR","SCALING_FORMAT=MLN","Sort=A","Dates=H","DateFormat=P","Fill=—","Direction=H","UseDPDF=Y")</f>
        <v>—</v>
      </c>
      <c r="AF10" s="13" t="str">
        <f>_xll.BDH("AMZN US Equity","CF_STOCK_BASED_COMPENSATION","FQ2 2006","FQ2 2006","Currency=USD","Period=FQ","BEST_FPERIOD_OVERRIDE=FQ","FILING_STATUS=OR","SCALING_FORMAT=MLN","Sort=A","Dates=H","DateFormat=P","Fill=—","Direction=H","UseDPDF=Y")</f>
        <v>—</v>
      </c>
      <c r="AG10" s="13" t="str">
        <f>_xll.BDH("AMZN US Equity","CF_STOCK_BASED_COMPENSATION","FQ3 2006","FQ3 2006","Currency=USD","Period=FQ","BEST_FPERIOD_OVERRIDE=FQ","FILING_STATUS=OR","SCALING_FORMAT=MLN","Sort=A","Dates=H","DateFormat=P","Fill=—","Direction=H","UseDPDF=Y")</f>
        <v>—</v>
      </c>
      <c r="AH10" s="13" t="str">
        <f>_xll.BDH("AMZN US Equity","CF_STOCK_BASED_COMPENSATION","FQ4 2006","FQ4 2006","Currency=USD","Period=FQ","BEST_FPERIOD_OVERRIDE=FQ","FILING_STATUS=OR","SCALING_FORMAT=MLN","Sort=A","Dates=H","DateFormat=P","Fill=—","Direction=H","UseDPDF=Y")</f>
        <v>—</v>
      </c>
      <c r="AI10" s="13" t="str">
        <f>_xll.BDH("AMZN US Equity","CF_STOCK_BASED_COMPENSATION","FQ1 2007","FQ1 2007","Currency=USD","Period=FQ","BEST_FPERIOD_OVERRIDE=FQ","FILING_STATUS=OR","SCALING_FORMAT=MLN","Sort=A","Dates=H","DateFormat=P","Fill=—","Direction=H","UseDPDF=Y")</f>
        <v>—</v>
      </c>
      <c r="AJ10" s="13" t="str">
        <f>_xll.BDH("AMZN US Equity","CF_STOCK_BASED_COMPENSATION","FQ2 2007","FQ2 2007","Currency=USD","Period=FQ","BEST_FPERIOD_OVERRIDE=FQ","FILING_STATUS=OR","SCALING_FORMAT=MLN","Sort=A","Dates=H","DateFormat=P","Fill=—","Direction=H","UseDPDF=Y")</f>
        <v>—</v>
      </c>
      <c r="AK10" s="13" t="str">
        <f>_xll.BDH("AMZN US Equity","CF_STOCK_BASED_COMPENSATION","FQ3 2007","FQ3 2007","Currency=USD","Period=FQ","BEST_FPERIOD_OVERRIDE=FQ","FILING_STATUS=OR","SCALING_FORMAT=MLN","Sort=A","Dates=H","DateFormat=P","Fill=—","Direction=H","UseDPDF=Y")</f>
        <v>—</v>
      </c>
      <c r="AL10" s="13">
        <f>_xll.BDH("AMZN US Equity","CF_STOCK_BASED_COMPENSATION","FQ4 2007","FQ4 2007","Currency=USD","Period=FQ","BEST_FPERIOD_OVERRIDE=FQ","FILING_STATUS=OR","SCALING_FORMAT=MLN","Sort=A","Dates=H","DateFormat=P","Fill=—","Direction=H","UseDPDF=Y")</f>
        <v>-109</v>
      </c>
      <c r="AM10" s="13" t="str">
        <f>_xll.BDH("AMZN US Equity","CF_STOCK_BASED_COMPENSATION","FQ1 2008","FQ1 2008","Currency=USD","Period=FQ","BEST_FPERIOD_OVERRIDE=FQ","FILING_STATUS=OR","SCALING_FORMAT=MLN","Sort=A","Dates=H","DateFormat=P","Fill=—","Direction=H","UseDPDF=Y")</f>
        <v>—</v>
      </c>
      <c r="AN10" s="13" t="str">
        <f>_xll.BDH("AMZN US Equity","CF_STOCK_BASED_COMPENSATION","FQ2 2008","FQ2 2008","Currency=USD","Period=FQ","BEST_FPERIOD_OVERRIDE=FQ","FILING_STATUS=OR","SCALING_FORMAT=MLN","Sort=A","Dates=H","DateFormat=P","Fill=—","Direction=H","UseDPDF=Y")</f>
        <v>—</v>
      </c>
      <c r="AO10" s="13" t="str">
        <f>_xll.BDH("AMZN US Equity","CF_STOCK_BASED_COMPENSATION","FQ3 2008","FQ3 2008","Currency=USD","Period=FQ","BEST_FPERIOD_OVERRIDE=FQ","FILING_STATUS=OR","SCALING_FORMAT=MLN","Sort=A","Dates=H","DateFormat=P","Fill=—","Direction=H","UseDPDF=Y")</f>
        <v>—</v>
      </c>
      <c r="AP10" s="13">
        <f>_xll.BDH("AMZN US Equity","CF_STOCK_BASED_COMPENSATION","FQ4 2008","FQ4 2008","Currency=USD","Period=FQ","BEST_FPERIOD_OVERRIDE=FQ","FILING_STATUS=OR","SCALING_FORMAT=MLN","Sort=A","Dates=H","DateFormat=P","Fill=—","Direction=H","UseDPDF=Y")</f>
        <v>80</v>
      </c>
    </row>
    <row r="11" spans="1:42" x14ac:dyDescent="0.25">
      <c r="A11" s="10" t="s">
        <v>309</v>
      </c>
      <c r="B11" s="10" t="s">
        <v>310</v>
      </c>
      <c r="C11" s="13" t="str">
        <f>_xll.BDH("AMZN US Equity","CF_DEF_INC_TAX","FQ1 1999","FQ1 1999","Currency=USD","Period=FQ","BEST_FPERIOD_OVERRIDE=FQ","FILING_STATUS=OR","SCALING_FORMAT=MLN","Sort=A","Dates=H","DateFormat=P","Fill=—","Direction=H","UseDPDF=Y")</f>
        <v>—</v>
      </c>
      <c r="D11" s="13" t="str">
        <f>_xll.BDH("AMZN US Equity","CF_DEF_INC_TAX","FQ2 1999","FQ2 1999","Currency=USD","Period=FQ","BEST_FPERIOD_OVERRIDE=FQ","FILING_STATUS=OR","SCALING_FORMAT=MLN","Sort=A","Dates=H","DateFormat=P","Fill=—","Direction=H","UseDPDF=Y")</f>
        <v>—</v>
      </c>
      <c r="E11" s="13" t="str">
        <f>_xll.BDH("AMZN US Equity","CF_DEF_INC_TAX","FQ3 1999","FQ3 1999","Currency=USD","Period=FQ","BEST_FPERIOD_OVERRIDE=FQ","FILING_STATUS=OR","SCALING_FORMAT=MLN","Sort=A","Dates=H","DateFormat=P","Fill=—","Direction=H","UseDPDF=Y")</f>
        <v>—</v>
      </c>
      <c r="F11" s="13" t="str">
        <f>_xll.BDH("AMZN US Equity","CF_DEF_INC_TAX","FQ4 1999","FQ4 1999","Currency=USD","Period=FQ","BEST_FPERIOD_OVERRIDE=FQ","FILING_STATUS=OR","SCALING_FORMAT=MLN","Sort=A","Dates=H","DateFormat=P","Fill=—","Direction=H","UseDPDF=Y")</f>
        <v>—</v>
      </c>
      <c r="G11" s="13" t="str">
        <f>_xll.BDH("AMZN US Equity","CF_DEF_INC_TAX","FQ1 2000","FQ1 2000","Currency=USD","Period=FQ","BEST_FPERIOD_OVERRIDE=FQ","FILING_STATUS=OR","SCALING_FORMAT=MLN","Sort=A","Dates=H","DateFormat=P","Fill=—","Direction=H","UseDPDF=Y")</f>
        <v>—</v>
      </c>
      <c r="H11" s="13" t="str">
        <f>_xll.BDH("AMZN US Equity","CF_DEF_INC_TAX","FQ2 2000","FQ2 2000","Currency=USD","Period=FQ","BEST_FPERIOD_OVERRIDE=FQ","FILING_STATUS=OR","SCALING_FORMAT=MLN","Sort=A","Dates=H","DateFormat=P","Fill=—","Direction=H","UseDPDF=Y")</f>
        <v>—</v>
      </c>
      <c r="I11" s="13" t="str">
        <f>_xll.BDH("AMZN US Equity","CF_DEF_INC_TAX","FQ3 2000","FQ3 2000","Currency=USD","Period=FQ","BEST_FPERIOD_OVERRIDE=FQ","FILING_STATUS=OR","SCALING_FORMAT=MLN","Sort=A","Dates=H","DateFormat=P","Fill=—","Direction=H","UseDPDF=Y")</f>
        <v>—</v>
      </c>
      <c r="J11" s="13" t="str">
        <f>_xll.BDH("AMZN US Equity","CF_DEF_INC_TAX","FQ4 2000","FQ4 2000","Currency=USD","Period=FQ","BEST_FPERIOD_OVERRIDE=FQ","FILING_STATUS=OR","SCALING_FORMAT=MLN","Sort=A","Dates=H","DateFormat=P","Fill=—","Direction=H","UseDPDF=Y")</f>
        <v>—</v>
      </c>
      <c r="K11" s="13" t="str">
        <f>_xll.BDH("AMZN US Equity","CF_DEF_INC_TAX","FQ1 2001","FQ1 2001","Currency=USD","Period=FQ","BEST_FPERIOD_OVERRIDE=FQ","FILING_STATUS=OR","SCALING_FORMAT=MLN","Sort=A","Dates=H","DateFormat=P","Fill=—","Direction=H","UseDPDF=Y")</f>
        <v>—</v>
      </c>
      <c r="L11" s="13" t="str">
        <f>_xll.BDH("AMZN US Equity","CF_DEF_INC_TAX","FQ2 2001","FQ2 2001","Currency=USD","Period=FQ","BEST_FPERIOD_OVERRIDE=FQ","FILING_STATUS=OR","SCALING_FORMAT=MLN","Sort=A","Dates=H","DateFormat=P","Fill=—","Direction=H","UseDPDF=Y")</f>
        <v>—</v>
      </c>
      <c r="M11" s="13" t="str">
        <f>_xll.BDH("AMZN US Equity","CF_DEF_INC_TAX","FQ3 2001","FQ3 2001","Currency=USD","Period=FQ","BEST_FPERIOD_OVERRIDE=FQ","FILING_STATUS=OR","SCALING_FORMAT=MLN","Sort=A","Dates=H","DateFormat=P","Fill=—","Direction=H","UseDPDF=Y")</f>
        <v>—</v>
      </c>
      <c r="N11" s="13" t="str">
        <f>_xll.BDH("AMZN US Equity","CF_DEF_INC_TAX","FQ4 2001","FQ4 2001","Currency=USD","Period=FQ","BEST_FPERIOD_OVERRIDE=FQ","FILING_STATUS=OR","SCALING_FORMAT=MLN","Sort=A","Dates=H","DateFormat=P","Fill=—","Direction=H","UseDPDF=Y")</f>
        <v>—</v>
      </c>
      <c r="O11" s="13" t="str">
        <f>_xll.BDH("AMZN US Equity","CF_DEF_INC_TAX","FQ1 2002","FQ1 2002","Currency=USD","Period=FQ","BEST_FPERIOD_OVERRIDE=FQ","FILING_STATUS=OR","SCALING_FORMAT=MLN","Sort=A","Dates=H","DateFormat=P","Fill=—","Direction=H","UseDPDF=Y")</f>
        <v>—</v>
      </c>
      <c r="P11" s="13" t="str">
        <f>_xll.BDH("AMZN US Equity","CF_DEF_INC_TAX","FQ2 2002","FQ2 2002","Currency=USD","Period=FQ","BEST_FPERIOD_OVERRIDE=FQ","FILING_STATUS=OR","SCALING_FORMAT=MLN","Sort=A","Dates=H","DateFormat=P","Fill=—","Direction=H","UseDPDF=Y")</f>
        <v>—</v>
      </c>
      <c r="Q11" s="13" t="str">
        <f>_xll.BDH("AMZN US Equity","CF_DEF_INC_TAX","FQ3 2002","FQ3 2002","Currency=USD","Period=FQ","BEST_FPERIOD_OVERRIDE=FQ","FILING_STATUS=OR","SCALING_FORMAT=MLN","Sort=A","Dates=H","DateFormat=P","Fill=—","Direction=H","UseDPDF=Y")</f>
        <v>—</v>
      </c>
      <c r="R11" s="13" t="str">
        <f>_xll.BDH("AMZN US Equity","CF_DEF_INC_TAX","FQ4 2002","FQ4 2002","Currency=USD","Period=FQ","BEST_FPERIOD_OVERRIDE=FQ","FILING_STATUS=OR","SCALING_FORMAT=MLN","Sort=A","Dates=H","DateFormat=P","Fill=—","Direction=H","UseDPDF=Y")</f>
        <v>—</v>
      </c>
      <c r="S11" s="13" t="str">
        <f>_xll.BDH("AMZN US Equity","CF_DEF_INC_TAX","FQ1 2003","FQ1 2003","Currency=USD","Period=FQ","BEST_FPERIOD_OVERRIDE=FQ","FILING_STATUS=OR","SCALING_FORMAT=MLN","Sort=A","Dates=H","DateFormat=P","Fill=—","Direction=H","UseDPDF=Y")</f>
        <v>—</v>
      </c>
      <c r="T11" s="13" t="str">
        <f>_xll.BDH("AMZN US Equity","CF_DEF_INC_TAX","FQ2 2003","FQ2 2003","Currency=USD","Period=FQ","BEST_FPERIOD_OVERRIDE=FQ","FILING_STATUS=OR","SCALING_FORMAT=MLN","Sort=A","Dates=H","DateFormat=P","Fill=—","Direction=H","UseDPDF=Y")</f>
        <v>—</v>
      </c>
      <c r="U11" s="13" t="str">
        <f>_xll.BDH("AMZN US Equity","CF_DEF_INC_TAX","FQ3 2003","FQ3 2003","Currency=USD","Period=FQ","BEST_FPERIOD_OVERRIDE=FQ","FILING_STATUS=OR","SCALING_FORMAT=MLN","Sort=A","Dates=H","DateFormat=P","Fill=—","Direction=H","UseDPDF=Y")</f>
        <v>—</v>
      </c>
      <c r="V11" s="13" t="str">
        <f>_xll.BDH("AMZN US Equity","CF_DEF_INC_TAX","FQ4 2003","FQ4 2003","Currency=USD","Period=FQ","BEST_FPERIOD_OVERRIDE=FQ","FILING_STATUS=OR","SCALING_FORMAT=MLN","Sort=A","Dates=H","DateFormat=P","Fill=—","Direction=H","UseDPDF=Y")</f>
        <v>—</v>
      </c>
      <c r="W11" s="13" t="str">
        <f>_xll.BDH("AMZN US Equity","CF_DEF_INC_TAX","FQ1 2004","FQ1 2004","Currency=USD","Period=FQ","BEST_FPERIOD_OVERRIDE=FQ","FILING_STATUS=OR","SCALING_FORMAT=MLN","Sort=A","Dates=H","DateFormat=P","Fill=—","Direction=H","UseDPDF=Y")</f>
        <v>—</v>
      </c>
      <c r="X11" s="13" t="str">
        <f>_xll.BDH("AMZN US Equity","CF_DEF_INC_TAX","FQ2 2004","FQ2 2004","Currency=USD","Period=FQ","BEST_FPERIOD_OVERRIDE=FQ","FILING_STATUS=OR","SCALING_FORMAT=MLN","Sort=A","Dates=H","DateFormat=P","Fill=—","Direction=H","UseDPDF=Y")</f>
        <v>—</v>
      </c>
      <c r="Y11" s="13" t="str">
        <f>_xll.BDH("AMZN US Equity","CF_DEF_INC_TAX","FQ3 2004","FQ3 2004","Currency=USD","Period=FQ","BEST_FPERIOD_OVERRIDE=FQ","FILING_STATUS=OR","SCALING_FORMAT=MLN","Sort=A","Dates=H","DateFormat=P","Fill=—","Direction=H","UseDPDF=Y")</f>
        <v>—</v>
      </c>
      <c r="Z11" s="13" t="str">
        <f>_xll.BDH("AMZN US Equity","CF_DEF_INC_TAX","FQ4 2004","FQ4 2004","Currency=USD","Period=FQ","BEST_FPERIOD_OVERRIDE=FQ","FILING_STATUS=OR","SCALING_FORMAT=MLN","Sort=A","Dates=H","DateFormat=P","Fill=—","Direction=H","UseDPDF=Y")</f>
        <v>—</v>
      </c>
      <c r="AA11" s="13">
        <f>_xll.BDH("AMZN US Equity","CF_DEF_INC_TAX","FQ1 2005","FQ1 2005","Currency=USD","Period=FQ","BEST_FPERIOD_OVERRIDE=FQ","FILING_STATUS=OR","SCALING_FORMAT=MLN","Sort=A","Dates=H","DateFormat=P","Fill=—","Direction=H","UseDPDF=Y")</f>
        <v>50</v>
      </c>
      <c r="AB11" s="13">
        <f>_xll.BDH("AMZN US Equity","CF_DEF_INC_TAX","FQ2 2005","FQ2 2005","Currency=USD","Period=FQ","BEST_FPERIOD_OVERRIDE=FQ","FILING_STATUS=OR","SCALING_FORMAT=MLN","Sort=A","Dates=H","DateFormat=P","Fill=—","Direction=H","UseDPDF=Y")</f>
        <v>44</v>
      </c>
      <c r="AC11" s="13">
        <f>_xll.BDH("AMZN US Equity","CF_DEF_INC_TAX","FQ3 2005","FQ3 2005","Currency=USD","Period=FQ","BEST_FPERIOD_OVERRIDE=FQ","FILING_STATUS=OR","SCALING_FORMAT=MLN","Sort=A","Dates=H","DateFormat=P","Fill=—","Direction=H","UseDPDF=Y")</f>
        <v>23</v>
      </c>
      <c r="AD11" s="13">
        <f>_xll.BDH("AMZN US Equity","CF_DEF_INC_TAX","FQ4 2005","FQ4 2005","Currency=USD","Period=FQ","BEST_FPERIOD_OVERRIDE=FQ","FILING_STATUS=OR","SCALING_FORMAT=MLN","Sort=A","Dates=H","DateFormat=P","Fill=—","Direction=H","UseDPDF=Y")</f>
        <v>-47</v>
      </c>
      <c r="AE11" s="13">
        <f>_xll.BDH("AMZN US Equity","CF_DEF_INC_TAX","FQ1 2006","FQ1 2006","Currency=USD","Period=FQ","BEST_FPERIOD_OVERRIDE=FQ","FILING_STATUS=OR","SCALING_FORMAT=MLN","Sort=A","Dates=H","DateFormat=P","Fill=—","Direction=H","UseDPDF=Y")</f>
        <v>10</v>
      </c>
      <c r="AF11" s="13">
        <f>_xll.BDH("AMZN US Equity","CF_DEF_INC_TAX","FQ2 2006","FQ2 2006","Currency=USD","Period=FQ","BEST_FPERIOD_OVERRIDE=FQ","FILING_STATUS=OR","SCALING_FORMAT=MLN","Sort=A","Dates=H","DateFormat=P","Fill=—","Direction=H","UseDPDF=Y")</f>
        <v>-2</v>
      </c>
      <c r="AG11" s="13">
        <f>_xll.BDH("AMZN US Equity","CF_DEF_INC_TAX","FQ3 2006","FQ3 2006","Currency=USD","Period=FQ","BEST_FPERIOD_OVERRIDE=FQ","FILING_STATUS=OR","SCALING_FORMAT=MLN","Sort=A","Dates=H","DateFormat=P","Fill=—","Direction=H","UseDPDF=Y")</f>
        <v>7</v>
      </c>
      <c r="AH11" s="13">
        <f>_xll.BDH("AMZN US Equity","CF_DEF_INC_TAX","FQ4 2006","FQ4 2006","Currency=USD","Period=FQ","BEST_FPERIOD_OVERRIDE=FQ","FILING_STATUS=OR","SCALING_FORMAT=MLN","Sort=A","Dates=H","DateFormat=P","Fill=—","Direction=H","UseDPDF=Y")</f>
        <v>7</v>
      </c>
      <c r="AI11" s="13">
        <f>_xll.BDH("AMZN US Equity","CF_DEF_INC_TAX","FQ1 2007","FQ1 2007","Currency=USD","Period=FQ","BEST_FPERIOD_OVERRIDE=FQ","FILING_STATUS=OR","SCALING_FORMAT=MLN","Sort=A","Dates=H","DateFormat=P","Fill=—","Direction=H","UseDPDF=Y")</f>
        <v>2</v>
      </c>
      <c r="AJ11" s="13">
        <f>_xll.BDH("AMZN US Equity","CF_DEF_INC_TAX","FQ2 2007","FQ2 2007","Currency=USD","Period=FQ","BEST_FPERIOD_OVERRIDE=FQ","FILING_STATUS=OR","SCALING_FORMAT=MLN","Sort=A","Dates=H","DateFormat=P","Fill=—","Direction=H","UseDPDF=Y")</f>
        <v>-2</v>
      </c>
      <c r="AK11" s="13">
        <f>_xll.BDH("AMZN US Equity","CF_DEF_INC_TAX","FQ3 2007","FQ3 2007","Currency=USD","Period=FQ","BEST_FPERIOD_OVERRIDE=FQ","FILING_STATUS=OR","SCALING_FORMAT=MLN","Sort=A","Dates=H","DateFormat=P","Fill=—","Direction=H","UseDPDF=Y")</f>
        <v>-2</v>
      </c>
      <c r="AL11" s="13">
        <f>_xll.BDH("AMZN US Equity","CF_DEF_INC_TAX","FQ4 2007","FQ4 2007","Currency=USD","Period=FQ","BEST_FPERIOD_OVERRIDE=FQ","FILING_STATUS=OR","SCALING_FORMAT=MLN","Sort=A","Dates=H","DateFormat=P","Fill=—","Direction=H","UseDPDF=Y")</f>
        <v>-97</v>
      </c>
      <c r="AM11" s="13">
        <f>_xll.BDH("AMZN US Equity","CF_DEF_INC_TAX","FQ1 2008","FQ1 2008","Currency=USD","Period=FQ","BEST_FPERIOD_OVERRIDE=FQ","FILING_STATUS=OR","SCALING_FORMAT=MLN","Sort=A","Dates=H","DateFormat=P","Fill=—","Direction=H","UseDPDF=Y")</f>
        <v>-19</v>
      </c>
      <c r="AN11" s="13">
        <f>_xll.BDH("AMZN US Equity","CF_DEF_INC_TAX","FQ2 2008","FQ2 2008","Currency=USD","Period=FQ","BEST_FPERIOD_OVERRIDE=FQ","FILING_STATUS=OR","SCALING_FORMAT=MLN","Sort=A","Dates=H","DateFormat=P","Fill=—","Direction=H","UseDPDF=Y")</f>
        <v>-10</v>
      </c>
      <c r="AO11" s="13">
        <f>_xll.BDH("AMZN US Equity","CF_DEF_INC_TAX","FQ3 2008","FQ3 2008","Currency=USD","Period=FQ","BEST_FPERIOD_OVERRIDE=FQ","FILING_STATUS=OR","SCALING_FORMAT=MLN","Sort=A","Dates=H","DateFormat=P","Fill=—","Direction=H","UseDPDF=Y")</f>
        <v>-17</v>
      </c>
      <c r="AP11" s="13">
        <f>_xll.BDH("AMZN US Equity","CF_DEF_INC_TAX","FQ4 2008","FQ4 2008","Currency=USD","Period=FQ","BEST_FPERIOD_OVERRIDE=FQ","FILING_STATUS=OR","SCALING_FORMAT=MLN","Sort=A","Dates=H","DateFormat=P","Fill=—","Direction=H","UseDPDF=Y")</f>
        <v>41</v>
      </c>
    </row>
    <row r="12" spans="1:42" x14ac:dyDescent="0.25">
      <c r="A12" s="10" t="s">
        <v>311</v>
      </c>
      <c r="B12" s="10" t="s">
        <v>312</v>
      </c>
      <c r="C12" s="13">
        <f>_xll.BDH("AMZN US Equity","OTHER_NON_CASH_ADJ_LESS_DETAILED","FQ1 1999","FQ1 1999","Currency=USD","Period=FQ","BEST_FPERIOD_OVERRIDE=FQ","FILING_STATUS=OR","SCALING_FORMAT=MLN","Sort=A","Dates=H","DateFormat=P","Fill=—","Direction=H","UseDPDF=Y")</f>
        <v>46.546999999999997</v>
      </c>
      <c r="D12" s="13">
        <f>_xll.BDH("AMZN US Equity","OTHER_NON_CASH_ADJ_LESS_DETAILED","FQ2 1999","FQ2 1999","Currency=USD","Period=FQ","BEST_FPERIOD_OVERRIDE=FQ","FILING_STATUS=OR","SCALING_FORMAT=MLN","Sort=A","Dates=H","DateFormat=P","Fill=—","Direction=H","UseDPDF=Y")</f>
        <v>61.973999999999997</v>
      </c>
      <c r="E12" s="13">
        <f>_xll.BDH("AMZN US Equity","OTHER_NON_CASH_ADJ_LESS_DETAILED","FQ3 1999","FQ3 1999","Currency=USD","Period=FQ","BEST_FPERIOD_OVERRIDE=FQ","FILING_STATUS=OR","SCALING_FORMAT=MLN","Sort=A","Dates=H","DateFormat=P","Fill=—","Direction=H","UseDPDF=Y")</f>
        <v>29.373999999999999</v>
      </c>
      <c r="F12" s="13">
        <f>_xll.BDH("AMZN US Equity","OTHER_NON_CASH_ADJ_LESS_DETAILED","FQ4 1999","FQ4 1999","Currency=USD","Period=FQ","BEST_FPERIOD_OVERRIDE=FQ","FILING_STATUS=OR","SCALING_FORMAT=MLN","Sort=A","Dates=H","DateFormat=P","Fill=—","Direction=H","UseDPDF=Y")</f>
        <v>-21.032</v>
      </c>
      <c r="G12" s="13">
        <f>_xll.BDH("AMZN US Equity","OTHER_NON_CASH_ADJ_LESS_DETAILED","FQ1 2000","FQ1 2000","Currency=USD","Period=FQ","BEST_FPERIOD_OVERRIDE=FQ","FILING_STATUS=OR","SCALING_FORMAT=MLN","Sort=A","Dates=H","DateFormat=P","Fill=—","Direction=H","UseDPDF=Y")</f>
        <v>75.078999999999994</v>
      </c>
      <c r="H12" s="13">
        <f>_xll.BDH("AMZN US Equity","OTHER_NON_CASH_ADJ_LESS_DETAILED","FQ2 2000","FQ2 2000","Currency=USD","Period=FQ","BEST_FPERIOD_OVERRIDE=FQ","FILING_STATUS=OR","SCALING_FORMAT=MLN","Sort=A","Dates=H","DateFormat=P","Fill=—","Direction=H","UseDPDF=Y")</f>
        <v>100.554</v>
      </c>
      <c r="I12" s="13">
        <f>_xll.BDH("AMZN US Equity","OTHER_NON_CASH_ADJ_LESS_DETAILED","FQ3 2000","FQ3 2000","Currency=USD","Period=FQ","BEST_FPERIOD_OVERRIDE=FQ","FILING_STATUS=OR","SCALING_FORMAT=MLN","Sort=A","Dates=H","DateFormat=P","Fill=—","Direction=H","UseDPDF=Y")</f>
        <v>101.364</v>
      </c>
      <c r="J12" s="13">
        <f>_xll.BDH("AMZN US Equity","OTHER_NON_CASH_ADJ_LESS_DETAILED","FQ4 2000","FQ4 2000","Currency=USD","Period=FQ","BEST_FPERIOD_OVERRIDE=FQ","FILING_STATUS=OR","SCALING_FORMAT=MLN","Sort=A","Dates=H","DateFormat=P","Fill=—","Direction=H","UseDPDF=Y")</f>
        <v>326.30200000000002</v>
      </c>
      <c r="K12" s="13">
        <f>_xll.BDH("AMZN US Equity","OTHER_NON_CASH_ADJ_LESS_DETAILED","FQ1 2001","FQ1 2001","Currency=USD","Period=FQ","BEST_FPERIOD_OVERRIDE=FQ","FILING_STATUS=OR","SCALING_FORMAT=MLN","Sort=A","Dates=H","DateFormat=P","Fill=—","Direction=H","UseDPDF=Y")</f>
        <v>27.968</v>
      </c>
      <c r="L12" s="13">
        <f>_xll.BDH("AMZN US Equity","OTHER_NON_CASH_ADJ_LESS_DETAILED","FQ2 2001","FQ2 2001","Currency=USD","Period=FQ","BEST_FPERIOD_OVERRIDE=FQ","FILING_STATUS=OR","SCALING_FORMAT=MLN","Sort=A","Dates=H","DateFormat=P","Fill=—","Direction=H","UseDPDF=Y")</f>
        <v>-17.132000000000001</v>
      </c>
      <c r="M12" s="13">
        <f>_xll.BDH("AMZN US Equity","OTHER_NON_CASH_ADJ_LESS_DETAILED","FQ3 2001","FQ3 2001","Currency=USD","Period=FQ","BEST_FPERIOD_OVERRIDE=FQ","FILING_STATUS=OR","SCALING_FORMAT=MLN","Sort=A","Dates=H","DateFormat=P","Fill=—","Direction=H","UseDPDF=Y")</f>
        <v>43.304000000000002</v>
      </c>
      <c r="N12" s="13">
        <f>_xll.BDH("AMZN US Equity","OTHER_NON_CASH_ADJ_LESS_DETAILED","FQ4 2001","FQ4 2001","Currency=USD","Period=FQ","BEST_FPERIOD_OVERRIDE=FQ","FILING_STATUS=OR","SCALING_FORMAT=MLN","Sort=A","Dates=H","DateFormat=P","Fill=—","Direction=H","UseDPDF=Y")</f>
        <v>92.075000000000003</v>
      </c>
      <c r="O12" s="13">
        <f>_xll.BDH("AMZN US Equity","OTHER_NON_CASH_ADJ_LESS_DETAILED","FQ1 2002","FQ1 2002","Currency=USD","Period=FQ","BEST_FPERIOD_OVERRIDE=FQ","FILING_STATUS=OR","SCALING_FORMAT=MLN","Sort=A","Dates=H","DateFormat=P","Fill=—","Direction=H","UseDPDF=Y")</f>
        <v>13.052</v>
      </c>
      <c r="P12" s="13">
        <f>_xll.BDH("AMZN US Equity","OTHER_NON_CASH_ADJ_LESS_DETAILED","FQ2 2002","FQ2 2002","Currency=USD","Period=FQ","BEST_FPERIOD_OVERRIDE=FQ","FILING_STATUS=OR","SCALING_FORMAT=MLN","Sort=A","Dates=H","DateFormat=P","Fill=—","Direction=H","UseDPDF=Y")</f>
        <v>94.796999999999997</v>
      </c>
      <c r="Q12" s="13">
        <f>_xll.BDH("AMZN US Equity","OTHER_NON_CASH_ADJ_LESS_DETAILED","FQ3 2002","FQ3 2002","Currency=USD","Period=FQ","BEST_FPERIOD_OVERRIDE=FQ","FILING_STATUS=OR","SCALING_FORMAT=MLN","Sort=A","Dates=H","DateFormat=P","Fill=—","Direction=H","UseDPDF=Y")</f>
        <v>4.7249999999999996</v>
      </c>
      <c r="R12" s="13">
        <f>_xll.BDH("AMZN US Equity","OTHER_NON_CASH_ADJ_LESS_DETAILED","FQ4 2002","FQ4 2002","Currency=USD","Period=FQ","BEST_FPERIOD_OVERRIDE=FQ","FILING_STATUS=OR","SCALING_FORMAT=MLN","Sort=A","Dates=H","DateFormat=P","Fill=—","Direction=H","UseDPDF=Y")</f>
        <v>83.358999999999995</v>
      </c>
      <c r="S12" s="13">
        <f>_xll.BDH("AMZN US Equity","OTHER_NON_CASH_ADJ_LESS_DETAILED","FQ1 2003","FQ1 2003","Currency=USD","Period=FQ","BEST_FPERIOD_OVERRIDE=FQ","FILING_STATUS=OR","SCALING_FORMAT=MLN","Sort=A","Dates=H","DateFormat=P","Fill=—","Direction=H","UseDPDF=Y")</f>
        <v>54.366</v>
      </c>
      <c r="T12" s="13">
        <f>_xll.BDH("AMZN US Equity","OTHER_NON_CASH_ADJ_LESS_DETAILED","FQ2 2003","FQ2 2003","Currency=USD","Period=FQ","BEST_FPERIOD_OVERRIDE=FQ","FILING_STATUS=OR","SCALING_FORMAT=MLN","Sort=A","Dates=H","DateFormat=P","Fill=—","Direction=H","UseDPDF=Y")</f>
        <v>83.841999999999999</v>
      </c>
      <c r="U12" s="13">
        <f>_xll.BDH("AMZN US Equity","OTHER_NON_CASH_ADJ_LESS_DETAILED","FQ3 2003","FQ3 2003","Currency=USD","Period=FQ","BEST_FPERIOD_OVERRIDE=FQ","FILING_STATUS=OR","SCALING_FORMAT=MLN","Sort=A","Dates=H","DateFormat=P","Fill=—","Direction=H","UseDPDF=Y")</f>
        <v>34.066000000000003</v>
      </c>
      <c r="V12" s="13">
        <f>_xll.BDH("AMZN US Equity","OTHER_NON_CASH_ADJ_LESS_DETAILED","FQ4 2003","FQ4 2003","Currency=USD","Period=FQ","BEST_FPERIOD_OVERRIDE=FQ","FILING_STATUS=OR","SCALING_FORMAT=MLN","Sort=A","Dates=H","DateFormat=P","Fill=—","Direction=H","UseDPDF=Y")</f>
        <v>51.505000000000003</v>
      </c>
      <c r="W12" s="13">
        <f>_xll.BDH("AMZN US Equity","OTHER_NON_CASH_ADJ_LESS_DETAILED","FQ1 2004","FQ1 2004","Currency=USD","Period=FQ","BEST_FPERIOD_OVERRIDE=FQ","FILING_STATUS=OR","SCALING_FORMAT=MLN","Sort=A","Dates=H","DateFormat=P","Fill=—","Direction=H","UseDPDF=Y")</f>
        <v>-13.733000000000001</v>
      </c>
      <c r="X12" s="13">
        <f>_xll.BDH("AMZN US Equity","OTHER_NON_CASH_ADJ_LESS_DETAILED","FQ2 2004","FQ2 2004","Currency=USD","Period=FQ","BEST_FPERIOD_OVERRIDE=FQ","FILING_STATUS=OR","SCALING_FORMAT=MLN","Sort=A","Dates=H","DateFormat=P","Fill=—","Direction=H","UseDPDF=Y")</f>
        <v>-0.56999999999999995</v>
      </c>
      <c r="Y12" s="13">
        <f>_xll.BDH("AMZN US Equity","OTHER_NON_CASH_ADJ_LESS_DETAILED","FQ3 2004","FQ3 2004","Currency=USD","Period=FQ","BEST_FPERIOD_OVERRIDE=FQ","FILING_STATUS=OR","SCALING_FORMAT=MLN","Sort=A","Dates=H","DateFormat=P","Fill=—","Direction=H","UseDPDF=Y")</f>
        <v>20.58</v>
      </c>
      <c r="Z12" s="13">
        <f>_xll.BDH("AMZN US Equity","OTHER_NON_CASH_ADJ_LESS_DETAILED","FQ4 2004","FQ4 2004","Currency=USD","Period=FQ","BEST_FPERIOD_OVERRIDE=FQ","FILING_STATUS=OR","SCALING_FORMAT=MLN","Sort=A","Dates=H","DateFormat=P","Fill=—","Direction=H","UseDPDF=Y")</f>
        <v>-208.24100000000001</v>
      </c>
      <c r="AA12" s="13">
        <f>_xll.BDH("AMZN US Equity","OTHER_NON_CASH_ADJ_LESS_DETAILED","FQ1 2005","FQ1 2005","Currency=USD","Period=FQ","BEST_FPERIOD_OVERRIDE=FQ","FILING_STATUS=OR","SCALING_FORMAT=MLN","Sort=A","Dates=H","DateFormat=P","Fill=—","Direction=H","UseDPDF=Y")</f>
        <v>-19</v>
      </c>
      <c r="AB12" s="13">
        <f>_xll.BDH("AMZN US Equity","OTHER_NON_CASH_ADJ_LESS_DETAILED","FQ2 2005","FQ2 2005","Currency=USD","Period=FQ","BEST_FPERIOD_OVERRIDE=FQ","FILING_STATUS=OR","SCALING_FORMAT=MLN","Sort=A","Dates=H","DateFormat=P","Fill=—","Direction=H","UseDPDF=Y")</f>
        <v>11</v>
      </c>
      <c r="AC12" s="13">
        <f>_xll.BDH("AMZN US Equity","OTHER_NON_CASH_ADJ_LESS_DETAILED","FQ3 2005","FQ3 2005","Currency=USD","Period=FQ","BEST_FPERIOD_OVERRIDE=FQ","FILING_STATUS=OR","SCALING_FORMAT=MLN","Sort=A","Dates=H","DateFormat=P","Fill=—","Direction=H","UseDPDF=Y")</f>
        <v>21</v>
      </c>
      <c r="AD12" s="13">
        <f>_xll.BDH("AMZN US Equity","OTHER_NON_CASH_ADJ_LESS_DETAILED","FQ4 2005","FQ4 2005","Currency=USD","Period=FQ","BEST_FPERIOD_OVERRIDE=FQ","FILING_STATUS=OR","SCALING_FORMAT=MLN","Sort=A","Dates=H","DateFormat=P","Fill=—","Direction=H","UseDPDF=Y")</f>
        <v>106</v>
      </c>
      <c r="AE12" s="13">
        <f>_xll.BDH("AMZN US Equity","OTHER_NON_CASH_ADJ_LESS_DETAILED","FQ1 2006","FQ1 2006","Currency=USD","Period=FQ","BEST_FPERIOD_OVERRIDE=FQ","FILING_STATUS=OR","SCALING_FORMAT=MLN","Sort=A","Dates=H","DateFormat=P","Fill=—","Direction=H","UseDPDF=Y")</f>
        <v>20</v>
      </c>
      <c r="AF12" s="13">
        <f>_xll.BDH("AMZN US Equity","OTHER_NON_CASH_ADJ_LESS_DETAILED","FQ2 2006","FQ2 2006","Currency=USD","Period=FQ","BEST_FPERIOD_OVERRIDE=FQ","FILING_STATUS=OR","SCALING_FORMAT=MLN","Sort=A","Dates=H","DateFormat=P","Fill=—","Direction=H","UseDPDF=Y")</f>
        <v>21</v>
      </c>
      <c r="AG12" s="13">
        <f>_xll.BDH("AMZN US Equity","OTHER_NON_CASH_ADJ_LESS_DETAILED","FQ3 2006","FQ3 2006","Currency=USD","Period=FQ","BEST_FPERIOD_OVERRIDE=FQ","FILING_STATUS=OR","SCALING_FORMAT=MLN","Sort=A","Dates=H","DateFormat=P","Fill=—","Direction=H","UseDPDF=Y")</f>
        <v>29</v>
      </c>
      <c r="AH12" s="13">
        <f>_xll.BDH("AMZN US Equity","OTHER_NON_CASH_ADJ_LESS_DETAILED","FQ4 2006","FQ4 2006","Currency=USD","Period=FQ","BEST_FPERIOD_OVERRIDE=FQ","FILING_STATUS=OR","SCALING_FORMAT=MLN","Sort=A","Dates=H","DateFormat=P","Fill=—","Direction=H","UseDPDF=Y")</f>
        <v>-69</v>
      </c>
      <c r="AI12" s="13">
        <f>_xll.BDH("AMZN US Equity","OTHER_NON_CASH_ADJ_LESS_DETAILED","FQ1 2007","FQ1 2007","Currency=USD","Period=FQ","BEST_FPERIOD_OVERRIDE=FQ","FILING_STATUS=OR","SCALING_FORMAT=MLN","Sort=A","Dates=H","DateFormat=P","Fill=—","Direction=H","UseDPDF=Y")</f>
        <v>13</v>
      </c>
      <c r="AJ12" s="13">
        <f>_xll.BDH("AMZN US Equity","OTHER_NON_CASH_ADJ_LESS_DETAILED","FQ2 2007","FQ2 2007","Currency=USD","Period=FQ","BEST_FPERIOD_OVERRIDE=FQ","FILING_STATUS=OR","SCALING_FORMAT=MLN","Sort=A","Dates=H","DateFormat=P","Fill=—","Direction=H","UseDPDF=Y")</f>
        <v>19</v>
      </c>
      <c r="AK12" s="13">
        <f>_xll.BDH("AMZN US Equity","OTHER_NON_CASH_ADJ_LESS_DETAILED","FQ3 2007","FQ3 2007","Currency=USD","Period=FQ","BEST_FPERIOD_OVERRIDE=FQ","FILING_STATUS=OR","SCALING_FORMAT=MLN","Sort=A","Dates=H","DateFormat=P","Fill=—","Direction=H","UseDPDF=Y")</f>
        <v>23</v>
      </c>
      <c r="AL12" s="13">
        <f>_xll.BDH("AMZN US Equity","OTHER_NON_CASH_ADJ_LESS_DETAILED","FQ4 2007","FQ4 2007","Currency=USD","Period=FQ","BEST_FPERIOD_OVERRIDE=FQ","FILING_STATUS=OR","SCALING_FORMAT=MLN","Sort=A","Dates=H","DateFormat=P","Fill=—","Direction=H","UseDPDF=Y")</f>
        <v>2</v>
      </c>
      <c r="AM12" s="13">
        <f>_xll.BDH("AMZN US Equity","OTHER_NON_CASH_ADJ_LESS_DETAILED","FQ1 2008","FQ1 2008","Currency=USD","Period=FQ","BEST_FPERIOD_OVERRIDE=FQ","FILING_STATUS=OR","SCALING_FORMAT=MLN","Sort=A","Dates=H","DateFormat=P","Fill=—","Direction=H","UseDPDF=Y")</f>
        <v>-8</v>
      </c>
      <c r="AN12" s="13">
        <f>_xll.BDH("AMZN US Equity","OTHER_NON_CASH_ADJ_LESS_DETAILED","FQ2 2008","FQ2 2008","Currency=USD","Period=FQ","BEST_FPERIOD_OVERRIDE=FQ","FILING_STATUS=OR","SCALING_FORMAT=MLN","Sort=A","Dates=H","DateFormat=P","Fill=—","Direction=H","UseDPDF=Y")</f>
        <v>-6</v>
      </c>
      <c r="AO12" s="13">
        <f>_xll.BDH("AMZN US Equity","OTHER_NON_CASH_ADJ_LESS_DETAILED","FQ3 2008","FQ3 2008","Currency=USD","Period=FQ","BEST_FPERIOD_OVERRIDE=FQ","FILING_STATUS=OR","SCALING_FORMAT=MLN","Sort=A","Dates=H","DateFormat=P","Fill=—","Direction=H","UseDPDF=Y")</f>
        <v>1</v>
      </c>
      <c r="AP12" s="13">
        <f>_xll.BDH("AMZN US Equity","OTHER_NON_CASH_ADJ_LESS_DETAILED","FQ4 2008","FQ4 2008","Currency=USD","Period=FQ","BEST_FPERIOD_OVERRIDE=FQ","FILING_STATUS=OR","SCALING_FORMAT=MLN","Sort=A","Dates=H","DateFormat=P","Fill=—","Direction=H","UseDPDF=Y")</f>
        <v>-9</v>
      </c>
    </row>
    <row r="13" spans="1:42" x14ac:dyDescent="0.25">
      <c r="A13" s="10" t="s">
        <v>313</v>
      </c>
      <c r="B13" s="10" t="s">
        <v>314</v>
      </c>
      <c r="C13" s="13">
        <f>_xll.BDH("AMZN US Equity","CF_CHNG_NON_CASH_WORK_CAP","FQ1 1999","FQ1 1999","Currency=USD","Period=FQ","BEST_FPERIOD_OVERRIDE=FQ","FILING_STATUS=OR","SCALING_FORMAT=MLN","Sort=A","Dates=H","DateFormat=P","Fill=—","Direction=H","UseDPDF=Y")</f>
        <v>-7.2969999999999997</v>
      </c>
      <c r="D13" s="13">
        <f>_xll.BDH("AMZN US Equity","CF_CHNG_NON_CASH_WORK_CAP","FQ2 1999","FQ2 1999","Currency=USD","Period=FQ","BEST_FPERIOD_OVERRIDE=FQ","FILING_STATUS=OR","SCALING_FORMAT=MLN","Sort=A","Dates=H","DateFormat=P","Fill=—","Direction=H","UseDPDF=Y")</f>
        <v>38.317999999999998</v>
      </c>
      <c r="E13" s="13">
        <f>_xll.BDH("AMZN US Equity","CF_CHNG_NON_CASH_WORK_CAP","FQ3 1999","FQ3 1999","Currency=USD","Period=FQ","BEST_FPERIOD_OVERRIDE=FQ","FILING_STATUS=OR","SCALING_FORMAT=MLN","Sort=A","Dates=H","DateFormat=P","Fill=—","Direction=H","UseDPDF=Y")</f>
        <v>-3.609</v>
      </c>
      <c r="F13" s="13">
        <f>_xll.BDH("AMZN US Equity","CF_CHNG_NON_CASH_WORK_CAP","FQ4 1999","FQ4 1999","Currency=USD","Period=FQ","BEST_FPERIOD_OVERRIDE=FQ","FILING_STATUS=OR","SCALING_FORMAT=MLN","Sort=A","Dates=H","DateFormat=P","Fill=—","Direction=H","UseDPDF=Y")</f>
        <v>202.7</v>
      </c>
      <c r="G13" s="13">
        <f>_xll.BDH("AMZN US Equity","CF_CHNG_NON_CASH_WORK_CAP","FQ1 2000","FQ1 2000","Currency=USD","Period=FQ","BEST_FPERIOD_OVERRIDE=FQ","FILING_STATUS=OR","SCALING_FORMAT=MLN","Sort=A","Dates=H","DateFormat=P","Fill=—","Direction=H","UseDPDF=Y")</f>
        <v>-201.81899999999999</v>
      </c>
      <c r="H13" s="13">
        <f>_xll.BDH("AMZN US Equity","CF_CHNG_NON_CASH_WORK_CAP","FQ2 2000","FQ2 2000","Currency=USD","Period=FQ","BEST_FPERIOD_OVERRIDE=FQ","FILING_STATUS=OR","SCALING_FORMAT=MLN","Sort=A","Dates=H","DateFormat=P","Fill=—","Direction=H","UseDPDF=Y")</f>
        <v>53.34</v>
      </c>
      <c r="I13" s="13">
        <f>_xll.BDH("AMZN US Equity","CF_CHNG_NON_CASH_WORK_CAP","FQ3 2000","FQ3 2000","Currency=USD","Period=FQ","BEST_FPERIOD_OVERRIDE=FQ","FILING_STATUS=OR","SCALING_FORMAT=MLN","Sort=A","Dates=H","DateFormat=P","Fill=—","Direction=H","UseDPDF=Y")</f>
        <v>29.33</v>
      </c>
      <c r="J13" s="13">
        <f>_xll.BDH("AMZN US Equity","CF_CHNG_NON_CASH_WORK_CAP","FQ4 2000","FQ4 2000","Currency=USD","Period=FQ","BEST_FPERIOD_OVERRIDE=FQ","FILING_STATUS=OR","SCALING_FORMAT=MLN","Sort=A","Dates=H","DateFormat=P","Fill=—","Direction=H","UseDPDF=Y")</f>
        <v>406.755</v>
      </c>
      <c r="K13" s="13">
        <f>_xll.BDH("AMZN US Equity","CF_CHNG_NON_CASH_WORK_CAP","FQ1 2001","FQ1 2001","Currency=USD","Period=FQ","BEST_FPERIOD_OVERRIDE=FQ","FILING_STATUS=OR","SCALING_FORMAT=MLN","Sort=A","Dates=H","DateFormat=P","Fill=—","Direction=H","UseDPDF=Y")</f>
        <v>-274.72500000000002</v>
      </c>
      <c r="L13" s="13">
        <f>_xll.BDH("AMZN US Equity","CF_CHNG_NON_CASH_WORK_CAP","FQ2 2001","FQ2 2001","Currency=USD","Period=FQ","BEST_FPERIOD_OVERRIDE=FQ","FILING_STATUS=OR","SCALING_FORMAT=MLN","Sort=A","Dates=H","DateFormat=P","Fill=—","Direction=H","UseDPDF=Y")</f>
        <v>116.352</v>
      </c>
      <c r="M13" s="13">
        <f>_xll.BDH("AMZN US Equity","CF_CHNG_NON_CASH_WORK_CAP","FQ3 2001","FQ3 2001","Currency=USD","Period=FQ","BEST_FPERIOD_OVERRIDE=FQ","FILING_STATUS=OR","SCALING_FORMAT=MLN","Sort=A","Dates=H","DateFormat=P","Fill=—","Direction=H","UseDPDF=Y")</f>
        <v>0.53700000000000003</v>
      </c>
      <c r="N13" s="13">
        <f>_xll.BDH("AMZN US Equity","CF_CHNG_NON_CASH_WORK_CAP","FQ4 2001","FQ4 2001","Currency=USD","Period=FQ","BEST_FPERIOD_OVERRIDE=FQ","FILING_STATUS=OR","SCALING_FORMAT=MLN","Sort=A","Dates=H","DateFormat=P","Fill=—","Direction=H","UseDPDF=Y")</f>
        <v>193.374</v>
      </c>
      <c r="O13" s="13">
        <f>_xll.BDH("AMZN US Equity","CF_CHNG_NON_CASH_WORK_CAP","FQ1 2002","FQ1 2002","Currency=USD","Period=FQ","BEST_FPERIOD_OVERRIDE=FQ","FILING_STATUS=OR","SCALING_FORMAT=MLN","Sort=A","Dates=H","DateFormat=P","Fill=—","Direction=H","UseDPDF=Y")</f>
        <v>-253.845</v>
      </c>
      <c r="P13" s="13">
        <f>_xll.BDH("AMZN US Equity","CF_CHNG_NON_CASH_WORK_CAP","FQ2 2002","FQ2 2002","Currency=USD","Period=FQ","BEST_FPERIOD_OVERRIDE=FQ","FILING_STATUS=OR","SCALING_FORMAT=MLN","Sort=A","Dates=H","DateFormat=P","Fill=—","Direction=H","UseDPDF=Y")</f>
        <v>-18.951000000000001</v>
      </c>
      <c r="Q13" s="13">
        <f>_xll.BDH("AMZN US Equity","CF_CHNG_NON_CASH_WORK_CAP","FQ3 2002","FQ3 2002","Currency=USD","Period=FQ","BEST_FPERIOD_OVERRIDE=FQ","FILING_STATUS=OR","SCALING_FORMAT=MLN","Sort=A","Dates=H","DateFormat=P","Fill=—","Direction=H","UseDPDF=Y")</f>
        <v>46.75</v>
      </c>
      <c r="R13" s="13">
        <f>_xll.BDH("AMZN US Equity","CF_CHNG_NON_CASH_WORK_CAP","FQ4 2002","FQ4 2002","Currency=USD","Period=FQ","BEST_FPERIOD_OVERRIDE=FQ","FILING_STATUS=OR","SCALING_FORMAT=MLN","Sort=A","Dates=H","DateFormat=P","Fill=—","Direction=H","UseDPDF=Y")</f>
        <v>265.79300000000001</v>
      </c>
      <c r="S13" s="13">
        <f>_xll.BDH("AMZN US Equity","CF_CHNG_NON_CASH_WORK_CAP","FQ1 2003","FQ1 2003","Currency=USD","Period=FQ","BEST_FPERIOD_OVERRIDE=FQ","FILING_STATUS=OR","SCALING_FORMAT=MLN","Sort=A","Dates=H","DateFormat=P","Fill=—","Direction=H","UseDPDF=Y")</f>
        <v>-315.77699999999999</v>
      </c>
      <c r="T13" s="13">
        <f>_xll.BDH("AMZN US Equity","CF_CHNG_NON_CASH_WORK_CAP","FQ2 2003","FQ2 2003","Currency=USD","Period=FQ","BEST_FPERIOD_OVERRIDE=FQ","FILING_STATUS=OR","SCALING_FORMAT=MLN","Sort=A","Dates=H","DateFormat=P","Fill=—","Direction=H","UseDPDF=Y")</f>
        <v>66.492999999999995</v>
      </c>
      <c r="U13" s="13">
        <f>_xll.BDH("AMZN US Equity","CF_CHNG_NON_CASH_WORK_CAP","FQ3 2003","FQ3 2003","Currency=USD","Period=FQ","BEST_FPERIOD_OVERRIDE=FQ","FILING_STATUS=OR","SCALING_FORMAT=MLN","Sort=A","Dates=H","DateFormat=P","Fill=—","Direction=H","UseDPDF=Y")</f>
        <v>-31.15</v>
      </c>
      <c r="V13" s="13">
        <f>_xll.BDH("AMZN US Equity","CF_CHNG_NON_CASH_WORK_CAP","FQ4 2003","FQ4 2003","Currency=USD","Period=FQ","BEST_FPERIOD_OVERRIDE=FQ","FILING_STATUS=OR","SCALING_FORMAT=MLN","Sort=A","Dates=H","DateFormat=P","Fill=—","Direction=H","UseDPDF=Y")</f>
        <v>337.69600000000003</v>
      </c>
      <c r="W13" s="13">
        <f>_xll.BDH("AMZN US Equity","CF_CHNG_NON_CASH_WORK_CAP","FQ1 2004","FQ1 2004","Currency=USD","Period=FQ","BEST_FPERIOD_OVERRIDE=FQ","FILING_STATUS=OR","SCALING_FORMAT=MLN","Sort=A","Dates=H","DateFormat=P","Fill=—","Direction=H","UseDPDF=Y")</f>
        <v>-365.77199999999999</v>
      </c>
      <c r="X13" s="13">
        <f>_xll.BDH("AMZN US Equity","CF_CHNG_NON_CASH_WORK_CAP","FQ2 2004","FQ2 2004","Currency=USD","Period=FQ","BEST_FPERIOD_OVERRIDE=FQ","FILING_STATUS=OR","SCALING_FORMAT=MLN","Sort=A","Dates=H","DateFormat=P","Fill=—","Direction=H","UseDPDF=Y")</f>
        <v>48.997</v>
      </c>
      <c r="Y13" s="13">
        <f>_xll.BDH("AMZN US Equity","CF_CHNG_NON_CASH_WORK_CAP","FQ3 2004","FQ3 2004","Currency=USD","Period=FQ","BEST_FPERIOD_OVERRIDE=FQ","FILING_STATUS=OR","SCALING_FORMAT=MLN","Sort=A","Dates=H","DateFormat=P","Fill=—","Direction=H","UseDPDF=Y")</f>
        <v>22.835000000000001</v>
      </c>
      <c r="Z13" s="13">
        <f>_xll.BDH("AMZN US Equity","CF_CHNG_NON_CASH_WORK_CAP","FQ4 2004","FQ4 2004","Currency=USD","Period=FQ","BEST_FPERIOD_OVERRIDE=FQ","FILING_STATUS=OR","SCALING_FORMAT=MLN","Sort=A","Dates=H","DateFormat=P","Fill=—","Direction=H","UseDPDF=Y")</f>
        <v>398.28899999999999</v>
      </c>
      <c r="AA13" s="13">
        <f>_xll.BDH("AMZN US Equity","CF_CHNG_NON_CASH_WORK_CAP","FQ1 2005","FQ1 2005","Currency=USD","Period=FQ","BEST_FPERIOD_OVERRIDE=FQ","FILING_STATUS=OR","SCALING_FORMAT=MLN","Sort=A","Dates=H","DateFormat=P","Fill=—","Direction=H","UseDPDF=Y")</f>
        <v>-431</v>
      </c>
      <c r="AB13" s="13">
        <f>_xll.BDH("AMZN US Equity","CF_CHNG_NON_CASH_WORK_CAP","FQ2 2005","FQ2 2005","Currency=USD","Period=FQ","BEST_FPERIOD_OVERRIDE=FQ","FILING_STATUS=OR","SCALING_FORMAT=MLN","Sort=A","Dates=H","DateFormat=P","Fill=—","Direction=H","UseDPDF=Y")</f>
        <v>111</v>
      </c>
      <c r="AC13" s="13">
        <f>_xll.BDH("AMZN US Equity","CF_CHNG_NON_CASH_WORK_CAP","FQ3 2005","FQ3 2005","Currency=USD","Period=FQ","BEST_FPERIOD_OVERRIDE=FQ","FILING_STATUS=OR","SCALING_FORMAT=MLN","Sort=A","Dates=H","DateFormat=P","Fill=—","Direction=H","UseDPDF=Y")</f>
        <v>49</v>
      </c>
      <c r="AD13" s="13">
        <f>_xll.BDH("AMZN US Equity","CF_CHNG_NON_CASH_WORK_CAP","FQ4 2005","FQ4 2005","Currency=USD","Period=FQ","BEST_FPERIOD_OVERRIDE=FQ","FILING_STATUS=OR","SCALING_FORMAT=MLN","Sort=A","Dates=H","DateFormat=P","Fill=—","Direction=H","UseDPDF=Y")</f>
        <v>335</v>
      </c>
      <c r="AE13" s="13">
        <f>_xll.BDH("AMZN US Equity","CF_CHNG_NON_CASH_WORK_CAP","FQ1 2006","FQ1 2006","Currency=USD","Period=FQ","BEST_FPERIOD_OVERRIDE=FQ","FILING_STATUS=OR","SCALING_FORMAT=MLN","Sort=A","Dates=H","DateFormat=P","Fill=—","Direction=H","UseDPDF=Y")</f>
        <v>-424</v>
      </c>
      <c r="AF13" s="13">
        <f>_xll.BDH("AMZN US Equity","CF_CHNG_NON_CASH_WORK_CAP","FQ2 2006","FQ2 2006","Currency=USD","Period=FQ","BEST_FPERIOD_OVERRIDE=FQ","FILING_STATUS=OR","SCALING_FORMAT=MLN","Sort=A","Dates=H","DateFormat=P","Fill=—","Direction=H","UseDPDF=Y")</f>
        <v>46</v>
      </c>
      <c r="AG13" s="13">
        <f>_xll.BDH("AMZN US Equity","CF_CHNG_NON_CASH_WORK_CAP","FQ3 2006","FQ3 2006","Currency=USD","Period=FQ","BEST_FPERIOD_OVERRIDE=FQ","FILING_STATUS=OR","SCALING_FORMAT=MLN","Sort=A","Dates=H","DateFormat=P","Fill=—","Direction=H","UseDPDF=Y")</f>
        <v>12</v>
      </c>
      <c r="AH13" s="13">
        <f>_xll.BDH("AMZN US Equity","CF_CHNG_NON_CASH_WORK_CAP","FQ4 2006","FQ4 2006","Currency=USD","Period=FQ","BEST_FPERIOD_OVERRIDE=FQ","FILING_STATUS=OR","SCALING_FORMAT=MLN","Sort=A","Dates=H","DateFormat=P","Fill=—","Direction=H","UseDPDF=Y")</f>
        <v>650</v>
      </c>
      <c r="AI13" s="13">
        <f>_xll.BDH("AMZN US Equity","CF_CHNG_NON_CASH_WORK_CAP","FQ1 2007","FQ1 2007","Currency=USD","Period=FQ","BEST_FPERIOD_OVERRIDE=FQ","FILING_STATUS=OR","SCALING_FORMAT=MLN","Sort=A","Dates=H","DateFormat=P","Fill=—","Direction=H","UseDPDF=Y")</f>
        <v>-467</v>
      </c>
      <c r="AJ13" s="13">
        <f>_xll.BDH("AMZN US Equity","CF_CHNG_NON_CASH_WORK_CAP","FQ2 2007","FQ2 2007","Currency=USD","Period=FQ","BEST_FPERIOD_OVERRIDE=FQ","FILING_STATUS=OR","SCALING_FORMAT=MLN","Sort=A","Dates=H","DateFormat=P","Fill=—","Direction=H","UseDPDF=Y")</f>
        <v>144</v>
      </c>
      <c r="AK13" s="13">
        <f>_xll.BDH("AMZN US Equity","CF_CHNG_NON_CASH_WORK_CAP","FQ3 2007","FQ3 2007","Currency=USD","Period=FQ","BEST_FPERIOD_OVERRIDE=FQ","FILING_STATUS=OR","SCALING_FORMAT=MLN","Sort=A","Dates=H","DateFormat=P","Fill=—","Direction=H","UseDPDF=Y")</f>
        <v>75</v>
      </c>
      <c r="AL13" s="13">
        <f>_xll.BDH("AMZN US Equity","CF_CHNG_NON_CASH_WORK_CAP","FQ4 2007","FQ4 2007","Currency=USD","Period=FQ","BEST_FPERIOD_OVERRIDE=FQ","FILING_STATUS=OR","SCALING_FORMAT=MLN","Sort=A","Dates=H","DateFormat=P","Fill=—","Direction=H","UseDPDF=Y")</f>
        <v>1083</v>
      </c>
      <c r="AM13" s="13">
        <f>_xll.BDH("AMZN US Equity","CF_CHNG_NON_CASH_WORK_CAP","FQ1 2008","FQ1 2008","Currency=USD","Period=FQ","BEST_FPERIOD_OVERRIDE=FQ","FILING_STATUS=OR","SCALING_FORMAT=MLN","Sort=A","Dates=H","DateFormat=P","Fill=—","Direction=H","UseDPDF=Y")</f>
        <v>-826</v>
      </c>
      <c r="AN13" s="13">
        <f>_xll.BDH("AMZN US Equity","CF_CHNG_NON_CASH_WORK_CAP","FQ2 2008","FQ2 2008","Currency=USD","Period=FQ","BEST_FPERIOD_OVERRIDE=FQ","FILING_STATUS=OR","SCALING_FORMAT=MLN","Sort=A","Dates=H","DateFormat=P","Fill=—","Direction=H","UseDPDF=Y")</f>
        <v>135</v>
      </c>
      <c r="AO13" s="13">
        <f>_xll.BDH("AMZN US Equity","CF_CHNG_NON_CASH_WORK_CAP","FQ3 2008","FQ3 2008","Currency=USD","Period=FQ","BEST_FPERIOD_OVERRIDE=FQ","FILING_STATUS=OR","SCALING_FORMAT=MLN","Sort=A","Dates=H","DateFormat=P","Fill=—","Direction=H","UseDPDF=Y")</f>
        <v>246</v>
      </c>
      <c r="AP13" s="13">
        <f>_xll.BDH("AMZN US Equity","CF_CHNG_NON_CASH_WORK_CAP","FQ4 2008","FQ4 2008","Currency=USD","Period=FQ","BEST_FPERIOD_OVERRIDE=FQ","FILING_STATUS=OR","SCALING_FORMAT=MLN","Sort=A","Dates=H","DateFormat=P","Fill=—","Direction=H","UseDPDF=Y")</f>
        <v>1157</v>
      </c>
    </row>
    <row r="14" spans="1:42" x14ac:dyDescent="0.25">
      <c r="A14" s="10" t="s">
        <v>315</v>
      </c>
      <c r="B14" s="10" t="s">
        <v>316</v>
      </c>
      <c r="C14" s="13" t="str">
        <f>_xll.BDH("AMZN US Equity","CF_ACCT_RCV_UNBILLED_REV","FQ1 1999","FQ1 1999","Currency=USD","Period=FQ","BEST_FPERIOD_OVERRIDE=FQ","FILING_STATUS=OR","SCALING_FORMAT=MLN","Sort=A","Dates=H","DateFormat=P","Fill=—","Direction=H","UseDPDF=Y")</f>
        <v>—</v>
      </c>
      <c r="D14" s="13" t="str">
        <f>_xll.BDH("AMZN US Equity","CF_ACCT_RCV_UNBILLED_REV","FQ2 1999","FQ2 1999","Currency=USD","Period=FQ","BEST_FPERIOD_OVERRIDE=FQ","FILING_STATUS=OR","SCALING_FORMAT=MLN","Sort=A","Dates=H","DateFormat=P","Fill=—","Direction=H","UseDPDF=Y")</f>
        <v>—</v>
      </c>
      <c r="E14" s="13" t="str">
        <f>_xll.BDH("AMZN US Equity","CF_ACCT_RCV_UNBILLED_REV","FQ3 1999","FQ3 1999","Currency=USD","Period=FQ","BEST_FPERIOD_OVERRIDE=FQ","FILING_STATUS=OR","SCALING_FORMAT=MLN","Sort=A","Dates=H","DateFormat=P","Fill=—","Direction=H","UseDPDF=Y")</f>
        <v>—</v>
      </c>
      <c r="F14" s="13" t="str">
        <f>_xll.BDH("AMZN US Equity","CF_ACCT_RCV_UNBILLED_REV","FQ4 1999","FQ4 1999","Currency=USD","Period=FQ","BEST_FPERIOD_OVERRIDE=FQ","FILING_STATUS=OR","SCALING_FORMAT=MLN","Sort=A","Dates=H","DateFormat=P","Fill=—","Direction=H","UseDPDF=Y")</f>
        <v>—</v>
      </c>
      <c r="G14" s="13" t="str">
        <f>_xll.BDH("AMZN US Equity","CF_ACCT_RCV_UNBILLED_REV","FQ1 2000","FQ1 2000","Currency=USD","Period=FQ","BEST_FPERIOD_OVERRIDE=FQ","FILING_STATUS=OR","SCALING_FORMAT=MLN","Sort=A","Dates=H","DateFormat=P","Fill=—","Direction=H","UseDPDF=Y")</f>
        <v>—</v>
      </c>
      <c r="H14" s="13" t="str">
        <f>_xll.BDH("AMZN US Equity","CF_ACCT_RCV_UNBILLED_REV","FQ2 2000","FQ2 2000","Currency=USD","Period=FQ","BEST_FPERIOD_OVERRIDE=FQ","FILING_STATUS=OR","SCALING_FORMAT=MLN","Sort=A","Dates=H","DateFormat=P","Fill=—","Direction=H","UseDPDF=Y")</f>
        <v>—</v>
      </c>
      <c r="I14" s="13" t="str">
        <f>_xll.BDH("AMZN US Equity","CF_ACCT_RCV_UNBILLED_REV","FQ3 2000","FQ3 2000","Currency=USD","Period=FQ","BEST_FPERIOD_OVERRIDE=FQ","FILING_STATUS=OR","SCALING_FORMAT=MLN","Sort=A","Dates=H","DateFormat=P","Fill=—","Direction=H","UseDPDF=Y")</f>
        <v>—</v>
      </c>
      <c r="J14" s="13" t="str">
        <f>_xll.BDH("AMZN US Equity","CF_ACCT_RCV_UNBILLED_REV","FQ4 2000","FQ4 2000","Currency=USD","Period=FQ","BEST_FPERIOD_OVERRIDE=FQ","FILING_STATUS=OR","SCALING_FORMAT=MLN","Sort=A","Dates=H","DateFormat=P","Fill=—","Direction=H","UseDPDF=Y")</f>
        <v>—</v>
      </c>
      <c r="K14" s="13" t="str">
        <f>_xll.BDH("AMZN US Equity","CF_ACCT_RCV_UNBILLED_REV","FQ1 2001","FQ1 2001","Currency=USD","Period=FQ","BEST_FPERIOD_OVERRIDE=FQ","FILING_STATUS=OR","SCALING_FORMAT=MLN","Sort=A","Dates=H","DateFormat=P","Fill=—","Direction=H","UseDPDF=Y")</f>
        <v>—</v>
      </c>
      <c r="L14" s="13" t="str">
        <f>_xll.BDH("AMZN US Equity","CF_ACCT_RCV_UNBILLED_REV","FQ2 2001","FQ2 2001","Currency=USD","Period=FQ","BEST_FPERIOD_OVERRIDE=FQ","FILING_STATUS=OR","SCALING_FORMAT=MLN","Sort=A","Dates=H","DateFormat=P","Fill=—","Direction=H","UseDPDF=Y")</f>
        <v>—</v>
      </c>
      <c r="M14" s="13" t="str">
        <f>_xll.BDH("AMZN US Equity","CF_ACCT_RCV_UNBILLED_REV","FQ3 2001","FQ3 2001","Currency=USD","Period=FQ","BEST_FPERIOD_OVERRIDE=FQ","FILING_STATUS=OR","SCALING_FORMAT=MLN","Sort=A","Dates=H","DateFormat=P","Fill=—","Direction=H","UseDPDF=Y")</f>
        <v>—</v>
      </c>
      <c r="N14" s="13" t="str">
        <f>_xll.BDH("AMZN US Equity","CF_ACCT_RCV_UNBILLED_REV","FQ4 2001","FQ4 2001","Currency=USD","Period=FQ","BEST_FPERIOD_OVERRIDE=FQ","FILING_STATUS=OR","SCALING_FORMAT=MLN","Sort=A","Dates=H","DateFormat=P","Fill=—","Direction=H","UseDPDF=Y")</f>
        <v>—</v>
      </c>
      <c r="O14" s="13" t="str">
        <f>_xll.BDH("AMZN US Equity","CF_ACCT_RCV_UNBILLED_REV","FQ1 2002","FQ1 2002","Currency=USD","Period=FQ","BEST_FPERIOD_OVERRIDE=FQ","FILING_STATUS=OR","SCALING_FORMAT=MLN","Sort=A","Dates=H","DateFormat=P","Fill=—","Direction=H","UseDPDF=Y")</f>
        <v>—</v>
      </c>
      <c r="P14" s="13" t="str">
        <f>_xll.BDH("AMZN US Equity","CF_ACCT_RCV_UNBILLED_REV","FQ2 2002","FQ2 2002","Currency=USD","Period=FQ","BEST_FPERIOD_OVERRIDE=FQ","FILING_STATUS=OR","SCALING_FORMAT=MLN","Sort=A","Dates=H","DateFormat=P","Fill=—","Direction=H","UseDPDF=Y")</f>
        <v>—</v>
      </c>
      <c r="Q14" s="13" t="str">
        <f>_xll.BDH("AMZN US Equity","CF_ACCT_RCV_UNBILLED_REV","FQ3 2002","FQ3 2002","Currency=USD","Period=FQ","BEST_FPERIOD_OVERRIDE=FQ","FILING_STATUS=OR","SCALING_FORMAT=MLN","Sort=A","Dates=H","DateFormat=P","Fill=—","Direction=H","UseDPDF=Y")</f>
        <v>—</v>
      </c>
      <c r="R14" s="13" t="str">
        <f>_xll.BDH("AMZN US Equity","CF_ACCT_RCV_UNBILLED_REV","FQ4 2002","FQ4 2002","Currency=USD","Period=FQ","BEST_FPERIOD_OVERRIDE=FQ","FILING_STATUS=OR","SCALING_FORMAT=MLN","Sort=A","Dates=H","DateFormat=P","Fill=—","Direction=H","UseDPDF=Y")</f>
        <v>—</v>
      </c>
      <c r="S14" s="13">
        <f>_xll.BDH("AMZN US Equity","CF_ACCT_RCV_UNBILLED_REV","FQ1 2003","FQ1 2003","Currency=USD","Period=FQ","BEST_FPERIOD_OVERRIDE=FQ","FILING_STATUS=OR","SCALING_FORMAT=MLN","Sort=A","Dates=H","DateFormat=P","Fill=—","Direction=H","UseDPDF=Y")</f>
        <v>27.233000000000001</v>
      </c>
      <c r="T14" s="13">
        <f>_xll.BDH("AMZN US Equity","CF_ACCT_RCV_UNBILLED_REV","FQ2 2003","FQ2 2003","Currency=USD","Period=FQ","BEST_FPERIOD_OVERRIDE=FQ","FILING_STATUS=OR","SCALING_FORMAT=MLN","Sort=A","Dates=H","DateFormat=P","Fill=—","Direction=H","UseDPDF=Y")</f>
        <v>5.9139999999999997</v>
      </c>
      <c r="U14" s="13">
        <f>_xll.BDH("AMZN US Equity","CF_ACCT_RCV_UNBILLED_REV","FQ3 2003","FQ3 2003","Currency=USD","Period=FQ","BEST_FPERIOD_OVERRIDE=FQ","FILING_STATUS=OR","SCALING_FORMAT=MLN","Sort=A","Dates=H","DateFormat=P","Fill=—","Direction=H","UseDPDF=Y")</f>
        <v>-14.843999999999999</v>
      </c>
      <c r="V14" s="13" t="str">
        <f>_xll.BDH("AMZN US Equity","CF_ACCT_RCV_UNBILLED_REV","FQ4 2003","FQ4 2003","Currency=USD","Period=FQ","BEST_FPERIOD_OVERRIDE=FQ","FILING_STATUS=OR","SCALING_FORMAT=MLN","Sort=A","Dates=H","DateFormat=P","Fill=—","Direction=H","UseDPDF=Y")</f>
        <v>—</v>
      </c>
      <c r="W14" s="13">
        <f>_xll.BDH("AMZN US Equity","CF_ACCT_RCV_UNBILLED_REV","FQ1 2004","FQ1 2004","Currency=USD","Period=FQ","BEST_FPERIOD_OVERRIDE=FQ","FILING_STATUS=OR","SCALING_FORMAT=MLN","Sort=A","Dates=H","DateFormat=P","Fill=—","Direction=H","UseDPDF=Y")</f>
        <v>10.298</v>
      </c>
      <c r="X14" s="13">
        <f>_xll.BDH("AMZN US Equity","CF_ACCT_RCV_UNBILLED_REV","FQ2 2004","FQ2 2004","Currency=USD","Period=FQ","BEST_FPERIOD_OVERRIDE=FQ","FILING_STATUS=OR","SCALING_FORMAT=MLN","Sort=A","Dates=H","DateFormat=P","Fill=—","Direction=H","UseDPDF=Y")</f>
        <v>-3.2720000000000002</v>
      </c>
      <c r="Y14" s="13">
        <f>_xll.BDH("AMZN US Equity","CF_ACCT_RCV_UNBILLED_REV","FQ3 2004","FQ3 2004","Currency=USD","Period=FQ","BEST_FPERIOD_OVERRIDE=FQ","FILING_STATUS=OR","SCALING_FORMAT=MLN","Sort=A","Dates=H","DateFormat=P","Fill=—","Direction=H","UseDPDF=Y")</f>
        <v>-22.867999999999999</v>
      </c>
      <c r="Z14" s="13">
        <f>_xll.BDH("AMZN US Equity","CF_ACCT_RCV_UNBILLED_REV","FQ4 2004","FQ4 2004","Currency=USD","Period=FQ","BEST_FPERIOD_OVERRIDE=FQ","FILING_STATUS=OR","SCALING_FORMAT=MLN","Sort=A","Dates=H","DateFormat=P","Fill=—","Direction=H","UseDPDF=Y")</f>
        <v>14.097</v>
      </c>
      <c r="AA14" s="13">
        <f>_xll.BDH("AMZN US Equity","CF_ACCT_RCV_UNBILLED_REV","FQ1 2005","FQ1 2005","Currency=USD","Period=FQ","BEST_FPERIOD_OVERRIDE=FQ","FILING_STATUS=OR","SCALING_FORMAT=MLN","Sort=A","Dates=H","DateFormat=P","Fill=—","Direction=H","UseDPDF=Y")</f>
        <v>10</v>
      </c>
      <c r="AB14" s="13">
        <f>_xll.BDH("AMZN US Equity","CF_ACCT_RCV_UNBILLED_REV","FQ2 2005","FQ2 2005","Currency=USD","Period=FQ","BEST_FPERIOD_OVERRIDE=FQ","FILING_STATUS=OR","SCALING_FORMAT=MLN","Sort=A","Dates=H","DateFormat=P","Fill=—","Direction=H","UseDPDF=Y")</f>
        <v>9</v>
      </c>
      <c r="AC14" s="13">
        <f>_xll.BDH("AMZN US Equity","CF_ACCT_RCV_UNBILLED_REV","FQ3 2005","FQ3 2005","Currency=USD","Period=FQ","BEST_FPERIOD_OVERRIDE=FQ","FILING_STATUS=OR","SCALING_FORMAT=MLN","Sort=A","Dates=H","DateFormat=P","Fill=—","Direction=H","UseDPDF=Y")</f>
        <v>-12</v>
      </c>
      <c r="AD14" s="13">
        <f>_xll.BDH("AMZN US Equity","CF_ACCT_RCV_UNBILLED_REV","FQ4 2005","FQ4 2005","Currency=USD","Period=FQ","BEST_FPERIOD_OVERRIDE=FQ","FILING_STATUS=OR","SCALING_FORMAT=MLN","Sort=A","Dates=H","DateFormat=P","Fill=—","Direction=H","UseDPDF=Y")</f>
        <v>-91</v>
      </c>
      <c r="AE14" s="13">
        <f>_xll.BDH("AMZN US Equity","CF_ACCT_RCV_UNBILLED_REV","FQ1 2006","FQ1 2006","Currency=USD","Period=FQ","BEST_FPERIOD_OVERRIDE=FQ","FILING_STATUS=OR","SCALING_FORMAT=MLN","Sort=A","Dates=H","DateFormat=P","Fill=—","Direction=H","UseDPDF=Y")</f>
        <v>50</v>
      </c>
      <c r="AF14" s="13">
        <f>_xll.BDH("AMZN US Equity","CF_ACCT_RCV_UNBILLED_REV","FQ2 2006","FQ2 2006","Currency=USD","Period=FQ","BEST_FPERIOD_OVERRIDE=FQ","FILING_STATUS=OR","SCALING_FORMAT=MLN","Sort=A","Dates=H","DateFormat=P","Fill=—","Direction=H","UseDPDF=Y")</f>
        <v>16</v>
      </c>
      <c r="AG14" s="13">
        <f>_xll.BDH("AMZN US Equity","CF_ACCT_RCV_UNBILLED_REV","FQ3 2006","FQ3 2006","Currency=USD","Period=FQ","BEST_FPERIOD_OVERRIDE=FQ","FILING_STATUS=OR","SCALING_FORMAT=MLN","Sort=A","Dates=H","DateFormat=P","Fill=—","Direction=H","UseDPDF=Y")</f>
        <v>-53</v>
      </c>
      <c r="AH14" s="13">
        <f>_xll.BDH("AMZN US Equity","CF_ACCT_RCV_UNBILLED_REV","FQ4 2006","FQ4 2006","Currency=USD","Period=FQ","BEST_FPERIOD_OVERRIDE=FQ","FILING_STATUS=OR","SCALING_FORMAT=MLN","Sort=A","Dates=H","DateFormat=P","Fill=—","Direction=H","UseDPDF=Y")</f>
        <v>-116</v>
      </c>
      <c r="AI14" s="13">
        <f>_xll.BDH("AMZN US Equity","CF_ACCT_RCV_UNBILLED_REV","FQ1 2007","FQ1 2007","Currency=USD","Period=FQ","BEST_FPERIOD_OVERRIDE=FQ","FILING_STATUS=OR","SCALING_FORMAT=MLN","Sort=A","Dates=H","DateFormat=P","Fill=—","Direction=H","UseDPDF=Y")</f>
        <v>66</v>
      </c>
      <c r="AJ14" s="13">
        <f>_xll.BDH("AMZN US Equity","CF_ACCT_RCV_UNBILLED_REV","FQ2 2007","FQ2 2007","Currency=USD","Period=FQ","BEST_FPERIOD_OVERRIDE=FQ","FILING_STATUS=OR","SCALING_FORMAT=MLN","Sort=A","Dates=H","DateFormat=P","Fill=—","Direction=H","UseDPDF=Y")</f>
        <v>-10</v>
      </c>
      <c r="AK14" s="13">
        <f>_xll.BDH("AMZN US Equity","CF_ACCT_RCV_UNBILLED_REV","FQ3 2007","FQ3 2007","Currency=USD","Period=FQ","BEST_FPERIOD_OVERRIDE=FQ","FILING_STATUS=OR","SCALING_FORMAT=MLN","Sort=A","Dates=H","DateFormat=P","Fill=—","Direction=H","UseDPDF=Y")</f>
        <v>-73</v>
      </c>
      <c r="AL14" s="13">
        <f>_xll.BDH("AMZN US Equity","CF_ACCT_RCV_UNBILLED_REV","FQ4 2007","FQ4 2007","Currency=USD","Period=FQ","BEST_FPERIOD_OVERRIDE=FQ","FILING_STATUS=OR","SCALING_FORMAT=MLN","Sort=A","Dates=H","DateFormat=P","Fill=—","Direction=H","UseDPDF=Y")</f>
        <v>-237</v>
      </c>
      <c r="AM14" s="13">
        <f>_xll.BDH("AMZN US Equity","CF_ACCT_RCV_UNBILLED_REV","FQ1 2008","FQ1 2008","Currency=USD","Period=FQ","BEST_FPERIOD_OVERRIDE=FQ","FILING_STATUS=OR","SCALING_FORMAT=MLN","Sort=A","Dates=H","DateFormat=P","Fill=—","Direction=H","UseDPDF=Y")</f>
        <v>139</v>
      </c>
      <c r="AN14" s="13">
        <f>_xll.BDH("AMZN US Equity","CF_ACCT_RCV_UNBILLED_REV","FQ2 2008","FQ2 2008","Currency=USD","Period=FQ","BEST_FPERIOD_OVERRIDE=FQ","FILING_STATUS=OR","SCALING_FORMAT=MLN","Sort=A","Dates=H","DateFormat=P","Fill=—","Direction=H","UseDPDF=Y")</f>
        <v>-25</v>
      </c>
      <c r="AO14" s="13">
        <f>_xll.BDH("AMZN US Equity","CF_ACCT_RCV_UNBILLED_REV","FQ3 2008","FQ3 2008","Currency=USD","Period=FQ","BEST_FPERIOD_OVERRIDE=FQ","FILING_STATUS=OR","SCALING_FORMAT=MLN","Sort=A","Dates=H","DateFormat=P","Fill=—","Direction=H","UseDPDF=Y")</f>
        <v>-9</v>
      </c>
      <c r="AP14" s="13">
        <f>_xll.BDH("AMZN US Equity","CF_ACCT_RCV_UNBILLED_REV","FQ4 2008","FQ4 2008","Currency=USD","Period=FQ","BEST_FPERIOD_OVERRIDE=FQ","FILING_STATUS=OR","SCALING_FORMAT=MLN","Sort=A","Dates=H","DateFormat=P","Fill=—","Direction=H","UseDPDF=Y")</f>
        <v>-324</v>
      </c>
    </row>
    <row r="15" spans="1:42" x14ac:dyDescent="0.25">
      <c r="A15" s="10" t="s">
        <v>317</v>
      </c>
      <c r="B15" s="10" t="s">
        <v>318</v>
      </c>
      <c r="C15" s="13" t="str">
        <f>_xll.BDH("AMZN US Equity","CF_CHANGE_IN_INVENTORIES","FQ1 1999","FQ1 1999","Currency=USD","Period=FQ","BEST_FPERIOD_OVERRIDE=FQ","FILING_STATUS=OR","SCALING_FORMAT=MLN","Sort=A","Dates=H","DateFormat=P","Fill=—","Direction=H","UseDPDF=Y")</f>
        <v>—</v>
      </c>
      <c r="D15" s="13" t="str">
        <f>_xll.BDH("AMZN US Equity","CF_CHANGE_IN_INVENTORIES","FQ2 1999","FQ2 1999","Currency=USD","Period=FQ","BEST_FPERIOD_OVERRIDE=FQ","FILING_STATUS=OR","SCALING_FORMAT=MLN","Sort=A","Dates=H","DateFormat=P","Fill=—","Direction=H","UseDPDF=Y")</f>
        <v>—</v>
      </c>
      <c r="E15" s="13" t="str">
        <f>_xll.BDH("AMZN US Equity","CF_CHANGE_IN_INVENTORIES","FQ3 1999","FQ3 1999","Currency=USD","Period=FQ","BEST_FPERIOD_OVERRIDE=FQ","FILING_STATUS=OR","SCALING_FORMAT=MLN","Sort=A","Dates=H","DateFormat=P","Fill=—","Direction=H","UseDPDF=Y")</f>
        <v>—</v>
      </c>
      <c r="F15" s="13" t="str">
        <f>_xll.BDH("AMZN US Equity","CF_CHANGE_IN_INVENTORIES","FQ4 1999","FQ4 1999","Currency=USD","Period=FQ","BEST_FPERIOD_OVERRIDE=FQ","FILING_STATUS=OR","SCALING_FORMAT=MLN","Sort=A","Dates=H","DateFormat=P","Fill=—","Direction=H","UseDPDF=Y")</f>
        <v>—</v>
      </c>
      <c r="G15" s="13" t="str">
        <f>_xll.BDH("AMZN US Equity","CF_CHANGE_IN_INVENTORIES","FQ1 2000","FQ1 2000","Currency=USD","Period=FQ","BEST_FPERIOD_OVERRIDE=FQ","FILING_STATUS=OR","SCALING_FORMAT=MLN","Sort=A","Dates=H","DateFormat=P","Fill=—","Direction=H","UseDPDF=Y")</f>
        <v>—</v>
      </c>
      <c r="H15" s="13" t="str">
        <f>_xll.BDH("AMZN US Equity","CF_CHANGE_IN_INVENTORIES","FQ2 2000","FQ2 2000","Currency=USD","Period=FQ","BEST_FPERIOD_OVERRIDE=FQ","FILING_STATUS=OR","SCALING_FORMAT=MLN","Sort=A","Dates=H","DateFormat=P","Fill=—","Direction=H","UseDPDF=Y")</f>
        <v>—</v>
      </c>
      <c r="I15" s="13" t="str">
        <f>_xll.BDH("AMZN US Equity","CF_CHANGE_IN_INVENTORIES","FQ3 2000","FQ3 2000","Currency=USD","Period=FQ","BEST_FPERIOD_OVERRIDE=FQ","FILING_STATUS=OR","SCALING_FORMAT=MLN","Sort=A","Dates=H","DateFormat=P","Fill=—","Direction=H","UseDPDF=Y")</f>
        <v>—</v>
      </c>
      <c r="J15" s="13" t="str">
        <f>_xll.BDH("AMZN US Equity","CF_CHANGE_IN_INVENTORIES","FQ4 2000","FQ4 2000","Currency=USD","Period=FQ","BEST_FPERIOD_OVERRIDE=FQ","FILING_STATUS=OR","SCALING_FORMAT=MLN","Sort=A","Dates=H","DateFormat=P","Fill=—","Direction=H","UseDPDF=Y")</f>
        <v>—</v>
      </c>
      <c r="K15" s="13" t="str">
        <f>_xll.BDH("AMZN US Equity","CF_CHANGE_IN_INVENTORIES","FQ1 2001","FQ1 2001","Currency=USD","Period=FQ","BEST_FPERIOD_OVERRIDE=FQ","FILING_STATUS=OR","SCALING_FORMAT=MLN","Sort=A","Dates=H","DateFormat=P","Fill=—","Direction=H","UseDPDF=Y")</f>
        <v>—</v>
      </c>
      <c r="L15" s="13" t="str">
        <f>_xll.BDH("AMZN US Equity","CF_CHANGE_IN_INVENTORIES","FQ2 2001","FQ2 2001","Currency=USD","Period=FQ","BEST_FPERIOD_OVERRIDE=FQ","FILING_STATUS=OR","SCALING_FORMAT=MLN","Sort=A","Dates=H","DateFormat=P","Fill=—","Direction=H","UseDPDF=Y")</f>
        <v>—</v>
      </c>
      <c r="M15" s="13">
        <f>_xll.BDH("AMZN US Equity","CF_CHANGE_IN_INVENTORIES","FQ3 2001","FQ3 2001","Currency=USD","Period=FQ","BEST_FPERIOD_OVERRIDE=FQ","FILING_STATUS=OR","SCALING_FORMAT=MLN","Sort=A","Dates=H","DateFormat=P","Fill=—","Direction=H","UseDPDF=Y")</f>
        <v>-0.65900000000000003</v>
      </c>
      <c r="N15" s="13" t="str">
        <f>_xll.BDH("AMZN US Equity","CF_CHANGE_IN_INVENTORIES","FQ4 2001","FQ4 2001","Currency=USD","Period=FQ","BEST_FPERIOD_OVERRIDE=FQ","FILING_STATUS=OR","SCALING_FORMAT=MLN","Sort=A","Dates=H","DateFormat=P","Fill=—","Direction=H","UseDPDF=Y")</f>
        <v>—</v>
      </c>
      <c r="O15" s="13" t="str">
        <f>_xll.BDH("AMZN US Equity","CF_CHANGE_IN_INVENTORIES","FQ1 2002","FQ1 2002","Currency=USD","Period=FQ","BEST_FPERIOD_OVERRIDE=FQ","FILING_STATUS=OR","SCALING_FORMAT=MLN","Sort=A","Dates=H","DateFormat=P","Fill=—","Direction=H","UseDPDF=Y")</f>
        <v>—</v>
      </c>
      <c r="P15" s="13" t="str">
        <f>_xll.BDH("AMZN US Equity","CF_CHANGE_IN_INVENTORIES","FQ2 2002","FQ2 2002","Currency=USD","Period=FQ","BEST_FPERIOD_OVERRIDE=FQ","FILING_STATUS=OR","SCALING_FORMAT=MLN","Sort=A","Dates=H","DateFormat=P","Fill=—","Direction=H","UseDPDF=Y")</f>
        <v>—</v>
      </c>
      <c r="Q15" s="13" t="str">
        <f>_xll.BDH("AMZN US Equity","CF_CHANGE_IN_INVENTORIES","FQ3 2002","FQ3 2002","Currency=USD","Period=FQ","BEST_FPERIOD_OVERRIDE=FQ","FILING_STATUS=OR","SCALING_FORMAT=MLN","Sort=A","Dates=H","DateFormat=P","Fill=—","Direction=H","UseDPDF=Y")</f>
        <v>—</v>
      </c>
      <c r="R15" s="13" t="str">
        <f>_xll.BDH("AMZN US Equity","CF_CHANGE_IN_INVENTORIES","FQ4 2002","FQ4 2002","Currency=USD","Period=FQ","BEST_FPERIOD_OVERRIDE=FQ","FILING_STATUS=OR","SCALING_FORMAT=MLN","Sort=A","Dates=H","DateFormat=P","Fill=—","Direction=H","UseDPDF=Y")</f>
        <v>—</v>
      </c>
      <c r="S15" s="13">
        <f>_xll.BDH("AMZN US Equity","CF_CHANGE_IN_INVENTORIES","FQ1 2003","FQ1 2003","Currency=USD","Period=FQ","BEST_FPERIOD_OVERRIDE=FQ","FILING_STATUS=OR","SCALING_FORMAT=MLN","Sort=A","Dates=H","DateFormat=P","Fill=—","Direction=H","UseDPDF=Y")</f>
        <v>30.625</v>
      </c>
      <c r="T15" s="13">
        <f>_xll.BDH("AMZN US Equity","CF_CHANGE_IN_INVENTORIES","FQ2 2003","FQ2 2003","Currency=USD","Period=FQ","BEST_FPERIOD_OVERRIDE=FQ","FILING_STATUS=OR","SCALING_FORMAT=MLN","Sort=A","Dates=H","DateFormat=P","Fill=—","Direction=H","UseDPDF=Y")</f>
        <v>-2.4790000000000001</v>
      </c>
      <c r="U15" s="13">
        <f>_xll.BDH("AMZN US Equity","CF_CHANGE_IN_INVENTORIES","FQ3 2003","FQ3 2003","Currency=USD","Period=FQ","BEST_FPERIOD_OVERRIDE=FQ","FILING_STATUS=OR","SCALING_FORMAT=MLN","Sort=A","Dates=H","DateFormat=P","Fill=—","Direction=H","UseDPDF=Y")</f>
        <v>-62.146999999999998</v>
      </c>
      <c r="V15" s="13" t="str">
        <f>_xll.BDH("AMZN US Equity","CF_CHANGE_IN_INVENTORIES","FQ4 2003","FQ4 2003","Currency=USD","Period=FQ","BEST_FPERIOD_OVERRIDE=FQ","FILING_STATUS=OR","SCALING_FORMAT=MLN","Sort=A","Dates=H","DateFormat=P","Fill=—","Direction=H","UseDPDF=Y")</f>
        <v>—</v>
      </c>
      <c r="W15" s="13">
        <f>_xll.BDH("AMZN US Equity","CF_CHANGE_IN_INVENTORIES","FQ1 2004","FQ1 2004","Currency=USD","Period=FQ","BEST_FPERIOD_OVERRIDE=FQ","FILING_STATUS=OR","SCALING_FORMAT=MLN","Sort=A","Dates=H","DateFormat=P","Fill=—","Direction=H","UseDPDF=Y")</f>
        <v>13.17</v>
      </c>
      <c r="X15" s="13">
        <f>_xll.BDH("AMZN US Equity","CF_CHANGE_IN_INVENTORIES","FQ2 2004","FQ2 2004","Currency=USD","Period=FQ","BEST_FPERIOD_OVERRIDE=FQ","FILING_STATUS=OR","SCALING_FORMAT=MLN","Sort=A","Dates=H","DateFormat=P","Fill=—","Direction=H","UseDPDF=Y")</f>
        <v>-4.7160000000000002</v>
      </c>
      <c r="Y15" s="13">
        <f>_xll.BDH("AMZN US Equity","CF_CHANGE_IN_INVENTORIES","FQ3 2004","FQ3 2004","Currency=USD","Period=FQ","BEST_FPERIOD_OVERRIDE=FQ","FILING_STATUS=OR","SCALING_FORMAT=MLN","Sort=A","Dates=H","DateFormat=P","Fill=—","Direction=H","UseDPDF=Y")</f>
        <v>-69.626000000000005</v>
      </c>
      <c r="Z15" s="13">
        <f>_xll.BDH("AMZN US Equity","CF_CHANGE_IN_INVENTORIES","FQ4 2004","FQ4 2004","Currency=USD","Period=FQ","BEST_FPERIOD_OVERRIDE=FQ","FILING_STATUS=OR","SCALING_FORMAT=MLN","Sort=A","Dates=H","DateFormat=P","Fill=—","Direction=H","UseDPDF=Y")</f>
        <v>-107.724</v>
      </c>
      <c r="AA15" s="13">
        <f>_xll.BDH("AMZN US Equity","CF_CHANGE_IN_INVENTORIES","FQ1 2005","FQ1 2005","Currency=USD","Period=FQ","BEST_FPERIOD_OVERRIDE=FQ","FILING_STATUS=OR","SCALING_FORMAT=MLN","Sort=A","Dates=H","DateFormat=P","Fill=—","Direction=H","UseDPDF=Y")</f>
        <v>72</v>
      </c>
      <c r="AB15" s="13">
        <f>_xll.BDH("AMZN US Equity","CF_CHANGE_IN_INVENTORIES","FQ2 2005","FQ2 2005","Currency=USD","Period=FQ","BEST_FPERIOD_OVERRIDE=FQ","FILING_STATUS=OR","SCALING_FORMAT=MLN","Sort=A","Dates=H","DateFormat=P","Fill=—","Direction=H","UseDPDF=Y")</f>
        <v>13</v>
      </c>
      <c r="AC15" s="13">
        <f>_xll.BDH("AMZN US Equity","CF_CHANGE_IN_INVENTORIES","FQ3 2005","FQ3 2005","Currency=USD","Period=FQ","BEST_FPERIOD_OVERRIDE=FQ","FILING_STATUS=OR","SCALING_FORMAT=MLN","Sort=A","Dates=H","DateFormat=P","Fill=—","Direction=H","UseDPDF=Y")</f>
        <v>-76</v>
      </c>
      <c r="AD15" s="13">
        <f>_xll.BDH("AMZN US Equity","CF_CHANGE_IN_INVENTORIES","FQ4 2005","FQ4 2005","Currency=USD","Period=FQ","BEST_FPERIOD_OVERRIDE=FQ","FILING_STATUS=OR","SCALING_FORMAT=MLN","Sort=A","Dates=H","DateFormat=P","Fill=—","Direction=H","UseDPDF=Y")</f>
        <v>-113</v>
      </c>
      <c r="AE15" s="13">
        <f>_xll.BDH("AMZN US Equity","CF_CHANGE_IN_INVENTORIES","FQ1 2006","FQ1 2006","Currency=USD","Period=FQ","BEST_FPERIOD_OVERRIDE=FQ","FILING_STATUS=OR","SCALING_FORMAT=MLN","Sort=A","Dates=H","DateFormat=P","Fill=—","Direction=H","UseDPDF=Y")</f>
        <v>33</v>
      </c>
      <c r="AF15" s="13">
        <f>_xll.BDH("AMZN US Equity","CF_CHANGE_IN_INVENTORIES","FQ2 2006","FQ2 2006","Currency=USD","Period=FQ","BEST_FPERIOD_OVERRIDE=FQ","FILING_STATUS=OR","SCALING_FORMAT=MLN","Sort=A","Dates=H","DateFormat=P","Fill=—","Direction=H","UseDPDF=Y")</f>
        <v>30</v>
      </c>
      <c r="AG15" s="13">
        <f>_xll.BDH("AMZN US Equity","CF_CHANGE_IN_INVENTORIES","FQ3 2006","FQ3 2006","Currency=USD","Period=FQ","BEST_FPERIOD_OVERRIDE=FQ","FILING_STATUS=OR","SCALING_FORMAT=MLN","Sort=A","Dates=H","DateFormat=P","Fill=—","Direction=H","UseDPDF=Y")</f>
        <v>-218</v>
      </c>
      <c r="AH15" s="13">
        <f>_xll.BDH("AMZN US Equity","CF_CHANGE_IN_INVENTORIES","FQ4 2006","FQ4 2006","Currency=USD","Period=FQ","BEST_FPERIOD_OVERRIDE=FQ","FILING_STATUS=OR","SCALING_FORMAT=MLN","Sort=A","Dates=H","DateFormat=P","Fill=—","Direction=H","UseDPDF=Y")</f>
        <v>-127</v>
      </c>
      <c r="AI15" s="13">
        <f>_xll.BDH("AMZN US Equity","CF_CHANGE_IN_INVENTORIES","FQ1 2007","FQ1 2007","Currency=USD","Period=FQ","BEST_FPERIOD_OVERRIDE=FQ","FILING_STATUS=OR","SCALING_FORMAT=MLN","Sort=A","Dates=H","DateFormat=P","Fill=—","Direction=H","UseDPDF=Y")</f>
        <v>126</v>
      </c>
      <c r="AJ15" s="13">
        <f>_xll.BDH("AMZN US Equity","CF_CHANGE_IN_INVENTORIES","FQ2 2007","FQ2 2007","Currency=USD","Period=FQ","BEST_FPERIOD_OVERRIDE=FQ","FILING_STATUS=OR","SCALING_FORMAT=MLN","Sort=A","Dates=H","DateFormat=P","Fill=—","Direction=H","UseDPDF=Y")</f>
        <v>25</v>
      </c>
      <c r="AK15" s="13">
        <f>_xll.BDH("AMZN US Equity","CF_CHANGE_IN_INVENTORIES","FQ3 2007","FQ3 2007","Currency=USD","Period=FQ","BEST_FPERIOD_OVERRIDE=FQ","FILING_STATUS=OR","SCALING_FORMAT=MLN","Sort=A","Dates=H","DateFormat=P","Fill=—","Direction=H","UseDPDF=Y")</f>
        <v>-223</v>
      </c>
      <c r="AL15" s="13">
        <f>_xll.BDH("AMZN US Equity","CF_CHANGE_IN_INVENTORIES","FQ4 2007","FQ4 2007","Currency=USD","Period=FQ","BEST_FPERIOD_OVERRIDE=FQ","FILING_STATUS=OR","SCALING_FORMAT=MLN","Sort=A","Dates=H","DateFormat=P","Fill=—","Direction=H","UseDPDF=Y")</f>
        <v>-231</v>
      </c>
      <c r="AM15" s="13">
        <f>_xll.BDH("AMZN US Equity","CF_CHANGE_IN_INVENTORIES","FQ1 2008","FQ1 2008","Currency=USD","Period=FQ","BEST_FPERIOD_OVERRIDE=FQ","FILING_STATUS=OR","SCALING_FORMAT=MLN","Sort=A","Dates=H","DateFormat=P","Fill=—","Direction=H","UseDPDF=Y")</f>
        <v>148</v>
      </c>
      <c r="AN15" s="13">
        <f>_xll.BDH("AMZN US Equity","CF_CHANGE_IN_INVENTORIES","FQ2 2008","FQ2 2008","Currency=USD","Period=FQ","BEST_FPERIOD_OVERRIDE=FQ","FILING_STATUS=OR","SCALING_FORMAT=MLN","Sort=A","Dates=H","DateFormat=P","Fill=—","Direction=H","UseDPDF=Y")</f>
        <v>-35</v>
      </c>
      <c r="AO15" s="13">
        <f>_xll.BDH("AMZN US Equity","CF_CHANGE_IN_INVENTORIES","FQ3 2008","FQ3 2008","Currency=USD","Period=FQ","BEST_FPERIOD_OVERRIDE=FQ","FILING_STATUS=OR","SCALING_FORMAT=MLN","Sort=A","Dates=H","DateFormat=P","Fill=—","Direction=H","UseDPDF=Y")</f>
        <v>-243</v>
      </c>
      <c r="AP15" s="13">
        <f>_xll.BDH("AMZN US Equity","CF_CHANGE_IN_INVENTORIES","FQ4 2008","FQ4 2008","Currency=USD","Period=FQ","BEST_FPERIOD_OVERRIDE=FQ","FILING_STATUS=OR","SCALING_FORMAT=MLN","Sort=A","Dates=H","DateFormat=P","Fill=—","Direction=H","UseDPDF=Y")</f>
        <v>-102</v>
      </c>
    </row>
    <row r="16" spans="1:42" x14ac:dyDescent="0.25">
      <c r="A16" s="10" t="s">
        <v>319</v>
      </c>
      <c r="B16" s="10" t="s">
        <v>320</v>
      </c>
      <c r="C16" s="13" t="str">
        <f>_xll.BDH("AMZN US Equity","CF_CHANGE_IN_ACCOUNTS_PAYABLE","FQ1 1999","FQ1 1999","Currency=USD","Period=FQ","BEST_FPERIOD_OVERRIDE=FQ","FILING_STATUS=OR","SCALING_FORMAT=MLN","Sort=A","Dates=H","DateFormat=P","Fill=—","Direction=H","UseDPDF=Y")</f>
        <v>—</v>
      </c>
      <c r="D16" s="13" t="str">
        <f>_xll.BDH("AMZN US Equity","CF_CHANGE_IN_ACCOUNTS_PAYABLE","FQ2 1999","FQ2 1999","Currency=USD","Period=FQ","BEST_FPERIOD_OVERRIDE=FQ","FILING_STATUS=OR","SCALING_FORMAT=MLN","Sort=A","Dates=H","DateFormat=P","Fill=—","Direction=H","UseDPDF=Y")</f>
        <v>—</v>
      </c>
      <c r="E16" s="13" t="str">
        <f>_xll.BDH("AMZN US Equity","CF_CHANGE_IN_ACCOUNTS_PAYABLE","FQ3 1999","FQ3 1999","Currency=USD","Period=FQ","BEST_FPERIOD_OVERRIDE=FQ","FILING_STATUS=OR","SCALING_FORMAT=MLN","Sort=A","Dates=H","DateFormat=P","Fill=—","Direction=H","UseDPDF=Y")</f>
        <v>—</v>
      </c>
      <c r="F16" s="13" t="str">
        <f>_xll.BDH("AMZN US Equity","CF_CHANGE_IN_ACCOUNTS_PAYABLE","FQ4 1999","FQ4 1999","Currency=USD","Period=FQ","BEST_FPERIOD_OVERRIDE=FQ","FILING_STATUS=OR","SCALING_FORMAT=MLN","Sort=A","Dates=H","DateFormat=P","Fill=—","Direction=H","UseDPDF=Y")</f>
        <v>—</v>
      </c>
      <c r="G16" s="13" t="str">
        <f>_xll.BDH("AMZN US Equity","CF_CHANGE_IN_ACCOUNTS_PAYABLE","FQ1 2000","FQ1 2000","Currency=USD","Period=FQ","BEST_FPERIOD_OVERRIDE=FQ","FILING_STATUS=OR","SCALING_FORMAT=MLN","Sort=A","Dates=H","DateFormat=P","Fill=—","Direction=H","UseDPDF=Y")</f>
        <v>—</v>
      </c>
      <c r="H16" s="13" t="str">
        <f>_xll.BDH("AMZN US Equity","CF_CHANGE_IN_ACCOUNTS_PAYABLE","FQ2 2000","FQ2 2000","Currency=USD","Period=FQ","BEST_FPERIOD_OVERRIDE=FQ","FILING_STATUS=OR","SCALING_FORMAT=MLN","Sort=A","Dates=H","DateFormat=P","Fill=—","Direction=H","UseDPDF=Y")</f>
        <v>—</v>
      </c>
      <c r="I16" s="13" t="str">
        <f>_xll.BDH("AMZN US Equity","CF_CHANGE_IN_ACCOUNTS_PAYABLE","FQ3 2000","FQ3 2000","Currency=USD","Period=FQ","BEST_FPERIOD_OVERRIDE=FQ","FILING_STATUS=OR","SCALING_FORMAT=MLN","Sort=A","Dates=H","DateFormat=P","Fill=—","Direction=H","UseDPDF=Y")</f>
        <v>—</v>
      </c>
      <c r="J16" s="13" t="str">
        <f>_xll.BDH("AMZN US Equity","CF_CHANGE_IN_ACCOUNTS_PAYABLE","FQ4 2000","FQ4 2000","Currency=USD","Period=FQ","BEST_FPERIOD_OVERRIDE=FQ","FILING_STATUS=OR","SCALING_FORMAT=MLN","Sort=A","Dates=H","DateFormat=P","Fill=—","Direction=H","UseDPDF=Y")</f>
        <v>—</v>
      </c>
      <c r="K16" s="13" t="str">
        <f>_xll.BDH("AMZN US Equity","CF_CHANGE_IN_ACCOUNTS_PAYABLE","FQ1 2001","FQ1 2001","Currency=USD","Period=FQ","BEST_FPERIOD_OVERRIDE=FQ","FILING_STATUS=OR","SCALING_FORMAT=MLN","Sort=A","Dates=H","DateFormat=P","Fill=—","Direction=H","UseDPDF=Y")</f>
        <v>—</v>
      </c>
      <c r="L16" s="13" t="str">
        <f>_xll.BDH("AMZN US Equity","CF_CHANGE_IN_ACCOUNTS_PAYABLE","FQ2 2001","FQ2 2001","Currency=USD","Period=FQ","BEST_FPERIOD_OVERRIDE=FQ","FILING_STATUS=OR","SCALING_FORMAT=MLN","Sort=A","Dates=H","DateFormat=P","Fill=—","Direction=H","UseDPDF=Y")</f>
        <v>—</v>
      </c>
      <c r="M16" s="13" t="str">
        <f>_xll.BDH("AMZN US Equity","CF_CHANGE_IN_ACCOUNTS_PAYABLE","FQ3 2001","FQ3 2001","Currency=USD","Period=FQ","BEST_FPERIOD_OVERRIDE=FQ","FILING_STATUS=OR","SCALING_FORMAT=MLN","Sort=A","Dates=H","DateFormat=P","Fill=—","Direction=H","UseDPDF=Y")</f>
        <v>—</v>
      </c>
      <c r="N16" s="13" t="str">
        <f>_xll.BDH("AMZN US Equity","CF_CHANGE_IN_ACCOUNTS_PAYABLE","FQ4 2001","FQ4 2001","Currency=USD","Period=FQ","BEST_FPERIOD_OVERRIDE=FQ","FILING_STATUS=OR","SCALING_FORMAT=MLN","Sort=A","Dates=H","DateFormat=P","Fill=—","Direction=H","UseDPDF=Y")</f>
        <v>—</v>
      </c>
      <c r="O16" s="13" t="str">
        <f>_xll.BDH("AMZN US Equity","CF_CHANGE_IN_ACCOUNTS_PAYABLE","FQ1 2002","FQ1 2002","Currency=USD","Period=FQ","BEST_FPERIOD_OVERRIDE=FQ","FILING_STATUS=OR","SCALING_FORMAT=MLN","Sort=A","Dates=H","DateFormat=P","Fill=—","Direction=H","UseDPDF=Y")</f>
        <v>—</v>
      </c>
      <c r="P16" s="13" t="str">
        <f>_xll.BDH("AMZN US Equity","CF_CHANGE_IN_ACCOUNTS_PAYABLE","FQ2 2002","FQ2 2002","Currency=USD","Period=FQ","BEST_FPERIOD_OVERRIDE=FQ","FILING_STATUS=OR","SCALING_FORMAT=MLN","Sort=A","Dates=H","DateFormat=P","Fill=—","Direction=H","UseDPDF=Y")</f>
        <v>—</v>
      </c>
      <c r="Q16" s="13" t="str">
        <f>_xll.BDH("AMZN US Equity","CF_CHANGE_IN_ACCOUNTS_PAYABLE","FQ3 2002","FQ3 2002","Currency=USD","Period=FQ","BEST_FPERIOD_OVERRIDE=FQ","FILING_STATUS=OR","SCALING_FORMAT=MLN","Sort=A","Dates=H","DateFormat=P","Fill=—","Direction=H","UseDPDF=Y")</f>
        <v>—</v>
      </c>
      <c r="R16" s="13" t="str">
        <f>_xll.BDH("AMZN US Equity","CF_CHANGE_IN_ACCOUNTS_PAYABLE","FQ4 2002","FQ4 2002","Currency=USD","Period=FQ","BEST_FPERIOD_OVERRIDE=FQ","FILING_STATUS=OR","SCALING_FORMAT=MLN","Sort=A","Dates=H","DateFormat=P","Fill=—","Direction=H","UseDPDF=Y")</f>
        <v>—</v>
      </c>
      <c r="S16" s="13" t="str">
        <f>_xll.BDH("AMZN US Equity","CF_CHANGE_IN_ACCOUNTS_PAYABLE","FQ1 2003","FQ1 2003","Currency=USD","Period=FQ","BEST_FPERIOD_OVERRIDE=FQ","FILING_STATUS=OR","SCALING_FORMAT=MLN","Sort=A","Dates=H","DateFormat=P","Fill=—","Direction=H","UseDPDF=Y")</f>
        <v>—</v>
      </c>
      <c r="T16" s="13" t="str">
        <f>_xll.BDH("AMZN US Equity","CF_CHANGE_IN_ACCOUNTS_PAYABLE","FQ2 2003","FQ2 2003","Currency=USD","Period=FQ","BEST_FPERIOD_OVERRIDE=FQ","FILING_STATUS=OR","SCALING_FORMAT=MLN","Sort=A","Dates=H","DateFormat=P","Fill=—","Direction=H","UseDPDF=Y")</f>
        <v>—</v>
      </c>
      <c r="U16" s="13" t="str">
        <f>_xll.BDH("AMZN US Equity","CF_CHANGE_IN_ACCOUNTS_PAYABLE","FQ3 2003","FQ3 2003","Currency=USD","Period=FQ","BEST_FPERIOD_OVERRIDE=FQ","FILING_STATUS=OR","SCALING_FORMAT=MLN","Sort=A","Dates=H","DateFormat=P","Fill=—","Direction=H","UseDPDF=Y")</f>
        <v>—</v>
      </c>
      <c r="V16" s="13" t="str">
        <f>_xll.BDH("AMZN US Equity","CF_CHANGE_IN_ACCOUNTS_PAYABLE","FQ4 2003","FQ4 2003","Currency=USD","Period=FQ","BEST_FPERIOD_OVERRIDE=FQ","FILING_STATUS=OR","SCALING_FORMAT=MLN","Sort=A","Dates=H","DateFormat=P","Fill=—","Direction=H","UseDPDF=Y")</f>
        <v>—</v>
      </c>
      <c r="W16" s="13" t="str">
        <f>_xll.BDH("AMZN US Equity","CF_CHANGE_IN_ACCOUNTS_PAYABLE","FQ1 2004","FQ1 2004","Currency=USD","Period=FQ","BEST_FPERIOD_OVERRIDE=FQ","FILING_STATUS=OR","SCALING_FORMAT=MLN","Sort=A","Dates=H","DateFormat=P","Fill=—","Direction=H","UseDPDF=Y")</f>
        <v>—</v>
      </c>
      <c r="X16" s="13" t="str">
        <f>_xll.BDH("AMZN US Equity","CF_CHANGE_IN_ACCOUNTS_PAYABLE","FQ2 2004","FQ2 2004","Currency=USD","Period=FQ","BEST_FPERIOD_OVERRIDE=FQ","FILING_STATUS=OR","SCALING_FORMAT=MLN","Sort=A","Dates=H","DateFormat=P","Fill=—","Direction=H","UseDPDF=Y")</f>
        <v>—</v>
      </c>
      <c r="Y16" s="13" t="str">
        <f>_xll.BDH("AMZN US Equity","CF_CHANGE_IN_ACCOUNTS_PAYABLE","FQ3 2004","FQ3 2004","Currency=USD","Period=FQ","BEST_FPERIOD_OVERRIDE=FQ","FILING_STATUS=OR","SCALING_FORMAT=MLN","Sort=A","Dates=H","DateFormat=P","Fill=—","Direction=H","UseDPDF=Y")</f>
        <v>—</v>
      </c>
      <c r="Z16" s="13" t="str">
        <f>_xll.BDH("AMZN US Equity","CF_CHANGE_IN_ACCOUNTS_PAYABLE","FQ4 2004","FQ4 2004","Currency=USD","Period=FQ","BEST_FPERIOD_OVERRIDE=FQ","FILING_STATUS=OR","SCALING_FORMAT=MLN","Sort=A","Dates=H","DateFormat=P","Fill=—","Direction=H","UseDPDF=Y")</f>
        <v>—</v>
      </c>
      <c r="AA16" s="13" t="str">
        <f>_xll.BDH("AMZN US Equity","CF_CHANGE_IN_ACCOUNTS_PAYABLE","FQ1 2005","FQ1 2005","Currency=USD","Period=FQ","BEST_FPERIOD_OVERRIDE=FQ","FILING_STATUS=OR","SCALING_FORMAT=MLN","Sort=A","Dates=H","DateFormat=P","Fill=—","Direction=H","UseDPDF=Y")</f>
        <v>—</v>
      </c>
      <c r="AB16" s="13" t="str">
        <f>_xll.BDH("AMZN US Equity","CF_CHANGE_IN_ACCOUNTS_PAYABLE","FQ2 2005","FQ2 2005","Currency=USD","Period=FQ","BEST_FPERIOD_OVERRIDE=FQ","FILING_STATUS=OR","SCALING_FORMAT=MLN","Sort=A","Dates=H","DateFormat=P","Fill=—","Direction=H","UseDPDF=Y")</f>
        <v>—</v>
      </c>
      <c r="AC16" s="13" t="str">
        <f>_xll.BDH("AMZN US Equity","CF_CHANGE_IN_ACCOUNTS_PAYABLE","FQ3 2005","FQ3 2005","Currency=USD","Period=FQ","BEST_FPERIOD_OVERRIDE=FQ","FILING_STATUS=OR","SCALING_FORMAT=MLN","Sort=A","Dates=H","DateFormat=P","Fill=—","Direction=H","UseDPDF=Y")</f>
        <v>—</v>
      </c>
      <c r="AD16" s="13" t="str">
        <f>_xll.BDH("AMZN US Equity","CF_CHANGE_IN_ACCOUNTS_PAYABLE","FQ4 2005","FQ4 2005","Currency=USD","Period=FQ","BEST_FPERIOD_OVERRIDE=FQ","FILING_STATUS=OR","SCALING_FORMAT=MLN","Sort=A","Dates=H","DateFormat=P","Fill=—","Direction=H","UseDPDF=Y")</f>
        <v>—</v>
      </c>
      <c r="AE16" s="13" t="str">
        <f>_xll.BDH("AMZN US Equity","CF_CHANGE_IN_ACCOUNTS_PAYABLE","FQ1 2006","FQ1 2006","Currency=USD","Period=FQ","BEST_FPERIOD_OVERRIDE=FQ","FILING_STATUS=OR","SCALING_FORMAT=MLN","Sort=A","Dates=H","DateFormat=P","Fill=—","Direction=H","UseDPDF=Y")</f>
        <v>—</v>
      </c>
      <c r="AF16" s="13" t="str">
        <f>_xll.BDH("AMZN US Equity","CF_CHANGE_IN_ACCOUNTS_PAYABLE","FQ2 2006","FQ2 2006","Currency=USD","Period=FQ","BEST_FPERIOD_OVERRIDE=FQ","FILING_STATUS=OR","SCALING_FORMAT=MLN","Sort=A","Dates=H","DateFormat=P","Fill=—","Direction=H","UseDPDF=Y")</f>
        <v>—</v>
      </c>
      <c r="AG16" s="13">
        <f>_xll.BDH("AMZN US Equity","CF_CHANGE_IN_ACCOUNTS_PAYABLE","FQ3 2006","FQ3 2006","Currency=USD","Period=FQ","BEST_FPERIOD_OVERRIDE=FQ","FILING_STATUS=OR","SCALING_FORMAT=MLN","Sort=A","Dates=H","DateFormat=P","Fill=—","Direction=H","UseDPDF=Y")</f>
        <v>252</v>
      </c>
      <c r="AH16" s="13" t="str">
        <f>_xll.BDH("AMZN US Equity","CF_CHANGE_IN_ACCOUNTS_PAYABLE","FQ4 2006","FQ4 2006","Currency=USD","Period=FQ","BEST_FPERIOD_OVERRIDE=FQ","FILING_STATUS=OR","SCALING_FORMAT=MLN","Sort=A","Dates=H","DateFormat=P","Fill=—","Direction=H","UseDPDF=Y")</f>
        <v>—</v>
      </c>
      <c r="AI16" s="13">
        <f>_xll.BDH("AMZN US Equity","CF_CHANGE_IN_ACCOUNTS_PAYABLE","FQ1 2007","FQ1 2007","Currency=USD","Period=FQ","BEST_FPERIOD_OVERRIDE=FQ","FILING_STATUS=OR","SCALING_FORMAT=MLN","Sort=A","Dates=H","DateFormat=P","Fill=—","Direction=H","UseDPDF=Y")</f>
        <v>-602</v>
      </c>
      <c r="AJ16" s="13" t="str">
        <f>_xll.BDH("AMZN US Equity","CF_CHANGE_IN_ACCOUNTS_PAYABLE","FQ2 2007","FQ2 2007","Currency=USD","Period=FQ","BEST_FPERIOD_OVERRIDE=FQ","FILING_STATUS=OR","SCALING_FORMAT=MLN","Sort=A","Dates=H","DateFormat=P","Fill=—","Direction=H","UseDPDF=Y")</f>
        <v>—</v>
      </c>
      <c r="AK16" s="13" t="str">
        <f>_xll.BDH("AMZN US Equity","CF_CHANGE_IN_ACCOUNTS_PAYABLE","FQ3 2007","FQ3 2007","Currency=USD","Period=FQ","BEST_FPERIOD_OVERRIDE=FQ","FILING_STATUS=OR","SCALING_FORMAT=MLN","Sort=A","Dates=H","DateFormat=P","Fill=—","Direction=H","UseDPDF=Y")</f>
        <v>—</v>
      </c>
      <c r="AL16" s="13">
        <f>_xll.BDH("AMZN US Equity","CF_CHANGE_IN_ACCOUNTS_PAYABLE","FQ4 2007","FQ4 2007","Currency=USD","Period=FQ","BEST_FPERIOD_OVERRIDE=FQ","FILING_STATUS=OR","SCALING_FORMAT=MLN","Sort=A","Dates=H","DateFormat=P","Fill=—","Direction=H","UseDPDF=Y")</f>
        <v>1144</v>
      </c>
      <c r="AM16" s="13" t="str">
        <f>_xll.BDH("AMZN US Equity","CF_CHANGE_IN_ACCOUNTS_PAYABLE","FQ1 2008","FQ1 2008","Currency=USD","Period=FQ","BEST_FPERIOD_OVERRIDE=FQ","FILING_STATUS=OR","SCALING_FORMAT=MLN","Sort=A","Dates=H","DateFormat=P","Fill=—","Direction=H","UseDPDF=Y")</f>
        <v>—</v>
      </c>
      <c r="AN16" s="13" t="str">
        <f>_xll.BDH("AMZN US Equity","CF_CHANGE_IN_ACCOUNTS_PAYABLE","FQ2 2008","FQ2 2008","Currency=USD","Period=FQ","BEST_FPERIOD_OVERRIDE=FQ","FILING_STATUS=OR","SCALING_FORMAT=MLN","Sort=A","Dates=H","DateFormat=P","Fill=—","Direction=H","UseDPDF=Y")</f>
        <v>—</v>
      </c>
      <c r="AO16" s="13" t="str">
        <f>_xll.BDH("AMZN US Equity","CF_CHANGE_IN_ACCOUNTS_PAYABLE","FQ3 2008","FQ3 2008","Currency=USD","Period=FQ","BEST_FPERIOD_OVERRIDE=FQ","FILING_STATUS=OR","SCALING_FORMAT=MLN","Sort=A","Dates=H","DateFormat=P","Fill=—","Direction=H","UseDPDF=Y")</f>
        <v>—</v>
      </c>
      <c r="AP16" s="13">
        <f>_xll.BDH("AMZN US Equity","CF_CHANGE_IN_ACCOUNTS_PAYABLE","FQ4 2008","FQ4 2008","Currency=USD","Period=FQ","BEST_FPERIOD_OVERRIDE=FQ","FILING_STATUS=OR","SCALING_FORMAT=MLN","Sort=A","Dates=H","DateFormat=P","Fill=—","Direction=H","UseDPDF=Y")</f>
        <v>1336</v>
      </c>
    </row>
    <row r="17" spans="1:42" x14ac:dyDescent="0.25">
      <c r="A17" s="10" t="s">
        <v>321</v>
      </c>
      <c r="B17" s="10" t="s">
        <v>322</v>
      </c>
      <c r="C17" s="13">
        <f>_xll.BDH("AMZN US Equity","INC_DEC_IN_OT_OP_AST_LIAB_DETAIL","FQ1 1999","FQ1 1999","Currency=USD","Period=FQ","BEST_FPERIOD_OVERRIDE=FQ","FILING_STATUS=OR","SCALING_FORMAT=MLN","Sort=A","Dates=H","DateFormat=P","Fill=—","Direction=H","UseDPDF=Y")</f>
        <v>-7.2969999999999997</v>
      </c>
      <c r="D17" s="13">
        <f>_xll.BDH("AMZN US Equity","INC_DEC_IN_OT_OP_AST_LIAB_DETAIL","FQ2 1999","FQ2 1999","Currency=USD","Period=FQ","BEST_FPERIOD_OVERRIDE=FQ","FILING_STATUS=OR","SCALING_FORMAT=MLN","Sort=A","Dates=H","DateFormat=P","Fill=—","Direction=H","UseDPDF=Y")</f>
        <v>38.317999999999998</v>
      </c>
      <c r="E17" s="13">
        <f>_xll.BDH("AMZN US Equity","INC_DEC_IN_OT_OP_AST_LIAB_DETAIL","FQ3 1999","FQ3 1999","Currency=USD","Period=FQ","BEST_FPERIOD_OVERRIDE=FQ","FILING_STATUS=OR","SCALING_FORMAT=MLN","Sort=A","Dates=H","DateFormat=P","Fill=—","Direction=H","UseDPDF=Y")</f>
        <v>-3.609</v>
      </c>
      <c r="F17" s="13">
        <f>_xll.BDH("AMZN US Equity","INC_DEC_IN_OT_OP_AST_LIAB_DETAIL","FQ4 1999","FQ4 1999","Currency=USD","Period=FQ","BEST_FPERIOD_OVERRIDE=FQ","FILING_STATUS=OR","SCALING_FORMAT=MLN","Sort=A","Dates=H","DateFormat=P","Fill=—","Direction=H","UseDPDF=Y")</f>
        <v>202.7</v>
      </c>
      <c r="G17" s="13">
        <f>_xll.BDH("AMZN US Equity","INC_DEC_IN_OT_OP_AST_LIAB_DETAIL","FQ1 2000","FQ1 2000","Currency=USD","Period=FQ","BEST_FPERIOD_OVERRIDE=FQ","FILING_STATUS=OR","SCALING_FORMAT=MLN","Sort=A","Dates=H","DateFormat=P","Fill=—","Direction=H","UseDPDF=Y")</f>
        <v>-201.81899999999999</v>
      </c>
      <c r="H17" s="13">
        <f>_xll.BDH("AMZN US Equity","INC_DEC_IN_OT_OP_AST_LIAB_DETAIL","FQ2 2000","FQ2 2000","Currency=USD","Period=FQ","BEST_FPERIOD_OVERRIDE=FQ","FILING_STATUS=OR","SCALING_FORMAT=MLN","Sort=A","Dates=H","DateFormat=P","Fill=—","Direction=H","UseDPDF=Y")</f>
        <v>53.34</v>
      </c>
      <c r="I17" s="13">
        <f>_xll.BDH("AMZN US Equity","INC_DEC_IN_OT_OP_AST_LIAB_DETAIL","FQ3 2000","FQ3 2000","Currency=USD","Period=FQ","BEST_FPERIOD_OVERRIDE=FQ","FILING_STATUS=OR","SCALING_FORMAT=MLN","Sort=A","Dates=H","DateFormat=P","Fill=—","Direction=H","UseDPDF=Y")</f>
        <v>29.33</v>
      </c>
      <c r="J17" s="13">
        <f>_xll.BDH("AMZN US Equity","INC_DEC_IN_OT_OP_AST_LIAB_DETAIL","FQ4 2000","FQ4 2000","Currency=USD","Period=FQ","BEST_FPERIOD_OVERRIDE=FQ","FILING_STATUS=OR","SCALING_FORMAT=MLN","Sort=A","Dates=H","DateFormat=P","Fill=—","Direction=H","UseDPDF=Y")</f>
        <v>406.755</v>
      </c>
      <c r="K17" s="13">
        <f>_xll.BDH("AMZN US Equity","INC_DEC_IN_OT_OP_AST_LIAB_DETAIL","FQ1 2001","FQ1 2001","Currency=USD","Period=FQ","BEST_FPERIOD_OVERRIDE=FQ","FILING_STATUS=OR","SCALING_FORMAT=MLN","Sort=A","Dates=H","DateFormat=P","Fill=—","Direction=H","UseDPDF=Y")</f>
        <v>-274.72500000000002</v>
      </c>
      <c r="L17" s="13">
        <f>_xll.BDH("AMZN US Equity","INC_DEC_IN_OT_OP_AST_LIAB_DETAIL","FQ2 2001","FQ2 2001","Currency=USD","Period=FQ","BEST_FPERIOD_OVERRIDE=FQ","FILING_STATUS=OR","SCALING_FORMAT=MLN","Sort=A","Dates=H","DateFormat=P","Fill=—","Direction=H","UseDPDF=Y")</f>
        <v>116.352</v>
      </c>
      <c r="M17" s="13">
        <f>_xll.BDH("AMZN US Equity","INC_DEC_IN_OT_OP_AST_LIAB_DETAIL","FQ3 2001","FQ3 2001","Currency=USD","Period=FQ","BEST_FPERIOD_OVERRIDE=FQ","FILING_STATUS=OR","SCALING_FORMAT=MLN","Sort=A","Dates=H","DateFormat=P","Fill=—","Direction=H","UseDPDF=Y")</f>
        <v>1.196</v>
      </c>
      <c r="N17" s="13">
        <f>_xll.BDH("AMZN US Equity","INC_DEC_IN_OT_OP_AST_LIAB_DETAIL","FQ4 2001","FQ4 2001","Currency=USD","Period=FQ","BEST_FPERIOD_OVERRIDE=FQ","FILING_STATUS=OR","SCALING_FORMAT=MLN","Sort=A","Dates=H","DateFormat=P","Fill=—","Direction=H","UseDPDF=Y")</f>
        <v>193.374</v>
      </c>
      <c r="O17" s="13">
        <f>_xll.BDH("AMZN US Equity","INC_DEC_IN_OT_OP_AST_LIAB_DETAIL","FQ1 2002","FQ1 2002","Currency=USD","Period=FQ","BEST_FPERIOD_OVERRIDE=FQ","FILING_STATUS=OR","SCALING_FORMAT=MLN","Sort=A","Dates=H","DateFormat=P","Fill=—","Direction=H","UseDPDF=Y")</f>
        <v>-253.845</v>
      </c>
      <c r="P17" s="13">
        <f>_xll.BDH("AMZN US Equity","INC_DEC_IN_OT_OP_AST_LIAB_DETAIL","FQ2 2002","FQ2 2002","Currency=USD","Period=FQ","BEST_FPERIOD_OVERRIDE=FQ","FILING_STATUS=OR","SCALING_FORMAT=MLN","Sort=A","Dates=H","DateFormat=P","Fill=—","Direction=H","UseDPDF=Y")</f>
        <v>-18.951000000000001</v>
      </c>
      <c r="Q17" s="13">
        <f>_xll.BDH("AMZN US Equity","INC_DEC_IN_OT_OP_AST_LIAB_DETAIL","FQ3 2002","FQ3 2002","Currency=USD","Period=FQ","BEST_FPERIOD_OVERRIDE=FQ","FILING_STATUS=OR","SCALING_FORMAT=MLN","Sort=A","Dates=H","DateFormat=P","Fill=—","Direction=H","UseDPDF=Y")</f>
        <v>46.75</v>
      </c>
      <c r="R17" s="13">
        <f>_xll.BDH("AMZN US Equity","INC_DEC_IN_OT_OP_AST_LIAB_DETAIL","FQ4 2002","FQ4 2002","Currency=USD","Period=FQ","BEST_FPERIOD_OVERRIDE=FQ","FILING_STATUS=OR","SCALING_FORMAT=MLN","Sort=A","Dates=H","DateFormat=P","Fill=—","Direction=H","UseDPDF=Y")</f>
        <v>265.79300000000001</v>
      </c>
      <c r="S17" s="13">
        <f>_xll.BDH("AMZN US Equity","INC_DEC_IN_OT_OP_AST_LIAB_DETAIL","FQ1 2003","FQ1 2003","Currency=USD","Period=FQ","BEST_FPERIOD_OVERRIDE=FQ","FILING_STATUS=OR","SCALING_FORMAT=MLN","Sort=A","Dates=H","DateFormat=P","Fill=—","Direction=H","UseDPDF=Y")</f>
        <v>-373.63499999999999</v>
      </c>
      <c r="T17" s="13">
        <f>_xll.BDH("AMZN US Equity","INC_DEC_IN_OT_OP_AST_LIAB_DETAIL","FQ2 2003","FQ2 2003","Currency=USD","Period=FQ","BEST_FPERIOD_OVERRIDE=FQ","FILING_STATUS=OR","SCALING_FORMAT=MLN","Sort=A","Dates=H","DateFormat=P","Fill=—","Direction=H","UseDPDF=Y")</f>
        <v>63.058</v>
      </c>
      <c r="U17" s="13">
        <f>_xll.BDH("AMZN US Equity","INC_DEC_IN_OT_OP_AST_LIAB_DETAIL","FQ3 2003","FQ3 2003","Currency=USD","Period=FQ","BEST_FPERIOD_OVERRIDE=FQ","FILING_STATUS=OR","SCALING_FORMAT=MLN","Sort=A","Dates=H","DateFormat=P","Fill=—","Direction=H","UseDPDF=Y")</f>
        <v>45.841000000000001</v>
      </c>
      <c r="V17" s="13">
        <f>_xll.BDH("AMZN US Equity","INC_DEC_IN_OT_OP_AST_LIAB_DETAIL","FQ4 2003","FQ4 2003","Currency=USD","Period=FQ","BEST_FPERIOD_OVERRIDE=FQ","FILING_STATUS=OR","SCALING_FORMAT=MLN","Sort=A","Dates=H","DateFormat=P","Fill=—","Direction=H","UseDPDF=Y")</f>
        <v>337.69600000000003</v>
      </c>
      <c r="W17" s="13">
        <f>_xll.BDH("AMZN US Equity","INC_DEC_IN_OT_OP_AST_LIAB_DETAIL","FQ1 2004","FQ1 2004","Currency=USD","Period=FQ","BEST_FPERIOD_OVERRIDE=FQ","FILING_STATUS=OR","SCALING_FORMAT=MLN","Sort=A","Dates=H","DateFormat=P","Fill=—","Direction=H","UseDPDF=Y")</f>
        <v>-389.24</v>
      </c>
      <c r="X17" s="13">
        <f>_xll.BDH("AMZN US Equity","INC_DEC_IN_OT_OP_AST_LIAB_DETAIL","FQ2 2004","FQ2 2004","Currency=USD","Period=FQ","BEST_FPERIOD_OVERRIDE=FQ","FILING_STATUS=OR","SCALING_FORMAT=MLN","Sort=A","Dates=H","DateFormat=P","Fill=—","Direction=H","UseDPDF=Y")</f>
        <v>56.984999999999999</v>
      </c>
      <c r="Y17" s="13">
        <f>_xll.BDH("AMZN US Equity","INC_DEC_IN_OT_OP_AST_LIAB_DETAIL","FQ3 2004","FQ3 2004","Currency=USD","Period=FQ","BEST_FPERIOD_OVERRIDE=FQ","FILING_STATUS=OR","SCALING_FORMAT=MLN","Sort=A","Dates=H","DateFormat=P","Fill=—","Direction=H","UseDPDF=Y")</f>
        <v>115.32899999999999</v>
      </c>
      <c r="Z17" s="13">
        <f>_xll.BDH("AMZN US Equity","INC_DEC_IN_OT_OP_AST_LIAB_DETAIL","FQ4 2004","FQ4 2004","Currency=USD","Period=FQ","BEST_FPERIOD_OVERRIDE=FQ","FILING_STATUS=OR","SCALING_FORMAT=MLN","Sort=A","Dates=H","DateFormat=P","Fill=—","Direction=H","UseDPDF=Y")</f>
        <v>491.916</v>
      </c>
      <c r="AA17" s="13">
        <f>_xll.BDH("AMZN US Equity","INC_DEC_IN_OT_OP_AST_LIAB_DETAIL","FQ1 2005","FQ1 2005","Currency=USD","Period=FQ","BEST_FPERIOD_OVERRIDE=FQ","FILING_STATUS=OR","SCALING_FORMAT=MLN","Sort=A","Dates=H","DateFormat=P","Fill=—","Direction=H","UseDPDF=Y")</f>
        <v>-513</v>
      </c>
      <c r="AB17" s="13">
        <f>_xll.BDH("AMZN US Equity","INC_DEC_IN_OT_OP_AST_LIAB_DETAIL","FQ2 2005","FQ2 2005","Currency=USD","Period=FQ","BEST_FPERIOD_OVERRIDE=FQ","FILING_STATUS=OR","SCALING_FORMAT=MLN","Sort=A","Dates=H","DateFormat=P","Fill=—","Direction=H","UseDPDF=Y")</f>
        <v>89</v>
      </c>
      <c r="AC17" s="13">
        <f>_xll.BDH("AMZN US Equity","INC_DEC_IN_OT_OP_AST_LIAB_DETAIL","FQ3 2005","FQ3 2005","Currency=USD","Period=FQ","BEST_FPERIOD_OVERRIDE=FQ","FILING_STATUS=OR","SCALING_FORMAT=MLN","Sort=A","Dates=H","DateFormat=P","Fill=—","Direction=H","UseDPDF=Y")</f>
        <v>137</v>
      </c>
      <c r="AD17" s="13">
        <f>_xll.BDH("AMZN US Equity","INC_DEC_IN_OT_OP_AST_LIAB_DETAIL","FQ4 2005","FQ4 2005","Currency=USD","Period=FQ","BEST_FPERIOD_OVERRIDE=FQ","FILING_STATUS=OR","SCALING_FORMAT=MLN","Sort=A","Dates=H","DateFormat=P","Fill=—","Direction=H","UseDPDF=Y")</f>
        <v>539</v>
      </c>
      <c r="AE17" s="13">
        <f>_xll.BDH("AMZN US Equity","INC_DEC_IN_OT_OP_AST_LIAB_DETAIL","FQ1 2006","FQ1 2006","Currency=USD","Period=FQ","BEST_FPERIOD_OVERRIDE=FQ","FILING_STATUS=OR","SCALING_FORMAT=MLN","Sort=A","Dates=H","DateFormat=P","Fill=—","Direction=H","UseDPDF=Y")</f>
        <v>-507</v>
      </c>
      <c r="AF17" s="13">
        <f>_xll.BDH("AMZN US Equity","INC_DEC_IN_OT_OP_AST_LIAB_DETAIL","FQ2 2006","FQ2 2006","Currency=USD","Period=FQ","BEST_FPERIOD_OVERRIDE=FQ","FILING_STATUS=OR","SCALING_FORMAT=MLN","Sort=A","Dates=H","DateFormat=P","Fill=—","Direction=H","UseDPDF=Y")</f>
        <v>0</v>
      </c>
      <c r="AG17" s="13">
        <f>_xll.BDH("AMZN US Equity","INC_DEC_IN_OT_OP_AST_LIAB_DETAIL","FQ3 2006","FQ3 2006","Currency=USD","Period=FQ","BEST_FPERIOD_OVERRIDE=FQ","FILING_STATUS=OR","SCALING_FORMAT=MLN","Sort=A","Dates=H","DateFormat=P","Fill=—","Direction=H","UseDPDF=Y")</f>
        <v>31</v>
      </c>
      <c r="AH17" s="13">
        <f>_xll.BDH("AMZN US Equity","INC_DEC_IN_OT_OP_AST_LIAB_DETAIL","FQ4 2006","FQ4 2006","Currency=USD","Period=FQ","BEST_FPERIOD_OVERRIDE=FQ","FILING_STATUS=OR","SCALING_FORMAT=MLN","Sort=A","Dates=H","DateFormat=P","Fill=—","Direction=H","UseDPDF=Y")</f>
        <v>893</v>
      </c>
      <c r="AI17" s="13">
        <f>_xll.BDH("AMZN US Equity","INC_DEC_IN_OT_OP_AST_LIAB_DETAIL","FQ1 2007","FQ1 2007","Currency=USD","Period=FQ","BEST_FPERIOD_OVERRIDE=FQ","FILING_STATUS=OR","SCALING_FORMAT=MLN","Sort=A","Dates=H","DateFormat=P","Fill=—","Direction=H","UseDPDF=Y")</f>
        <v>-57</v>
      </c>
      <c r="AJ17" s="13">
        <f>_xll.BDH("AMZN US Equity","INC_DEC_IN_OT_OP_AST_LIAB_DETAIL","FQ2 2007","FQ2 2007","Currency=USD","Period=FQ","BEST_FPERIOD_OVERRIDE=FQ","FILING_STATUS=OR","SCALING_FORMAT=MLN","Sort=A","Dates=H","DateFormat=P","Fill=—","Direction=H","UseDPDF=Y")</f>
        <v>129</v>
      </c>
      <c r="AK17" s="13">
        <f>_xll.BDH("AMZN US Equity","INC_DEC_IN_OT_OP_AST_LIAB_DETAIL","FQ3 2007","FQ3 2007","Currency=USD","Period=FQ","BEST_FPERIOD_OVERRIDE=FQ","FILING_STATUS=OR","SCALING_FORMAT=MLN","Sort=A","Dates=H","DateFormat=P","Fill=—","Direction=H","UseDPDF=Y")</f>
        <v>371</v>
      </c>
      <c r="AL17" s="13">
        <f>_xll.BDH("AMZN US Equity","INC_DEC_IN_OT_OP_AST_LIAB_DETAIL","FQ4 2007","FQ4 2007","Currency=USD","Period=FQ","BEST_FPERIOD_OVERRIDE=FQ","FILING_STATUS=OR","SCALING_FORMAT=MLN","Sort=A","Dates=H","DateFormat=P","Fill=—","Direction=H","UseDPDF=Y")</f>
        <v>407</v>
      </c>
      <c r="AM17" s="13">
        <f>_xll.BDH("AMZN US Equity","INC_DEC_IN_OT_OP_AST_LIAB_DETAIL","FQ1 2008","FQ1 2008","Currency=USD","Period=FQ","BEST_FPERIOD_OVERRIDE=FQ","FILING_STATUS=OR","SCALING_FORMAT=MLN","Sort=A","Dates=H","DateFormat=P","Fill=—","Direction=H","UseDPDF=Y")</f>
        <v>-1113</v>
      </c>
      <c r="AN17" s="13">
        <f>_xll.BDH("AMZN US Equity","INC_DEC_IN_OT_OP_AST_LIAB_DETAIL","FQ2 2008","FQ2 2008","Currency=USD","Period=FQ","BEST_FPERIOD_OVERRIDE=FQ","FILING_STATUS=OR","SCALING_FORMAT=MLN","Sort=A","Dates=H","DateFormat=P","Fill=—","Direction=H","UseDPDF=Y")</f>
        <v>195</v>
      </c>
      <c r="AO17" s="13">
        <f>_xll.BDH("AMZN US Equity","INC_DEC_IN_OT_OP_AST_LIAB_DETAIL","FQ3 2008","FQ3 2008","Currency=USD","Period=FQ","BEST_FPERIOD_OVERRIDE=FQ","FILING_STATUS=OR","SCALING_FORMAT=MLN","Sort=A","Dates=H","DateFormat=P","Fill=—","Direction=H","UseDPDF=Y")</f>
        <v>498</v>
      </c>
      <c r="AP17" s="13">
        <f>_xll.BDH("AMZN US Equity","INC_DEC_IN_OT_OP_AST_LIAB_DETAIL","FQ4 2008","FQ4 2008","Currency=USD","Period=FQ","BEST_FPERIOD_OVERRIDE=FQ","FILING_STATUS=OR","SCALING_FORMAT=MLN","Sort=A","Dates=H","DateFormat=P","Fill=—","Direction=H","UseDPDF=Y")</f>
        <v>247</v>
      </c>
    </row>
    <row r="18" spans="1:42" x14ac:dyDescent="0.25">
      <c r="A18" s="6" t="s">
        <v>300</v>
      </c>
      <c r="B18" s="6" t="s">
        <v>323</v>
      </c>
      <c r="C18" s="16">
        <f>_xll.BDH("AMZN US Equity","CF_CASH_FROM_OPER","FQ1 1999","FQ1 1999","Currency=USD","Period=FQ","BEST_FPERIOD_OVERRIDE=FQ","FILING_STATUS=OR","SCALING_FORMAT=MLN","Sort=A","Dates=H","DateFormat=P","Fill=—","Direction=H","UseDPDF=Y")</f>
        <v>-17.193999999999999</v>
      </c>
      <c r="D18" s="16">
        <f>_xll.BDH("AMZN US Equity","CF_CASH_FROM_OPER","FQ2 1999","FQ2 1999","Currency=USD","Period=FQ","BEST_FPERIOD_OVERRIDE=FQ","FILING_STATUS=OR","SCALING_FORMAT=MLN","Sort=A","Dates=H","DateFormat=P","Fill=—","Direction=H","UseDPDF=Y")</f>
        <v>-29.614000000000001</v>
      </c>
      <c r="E18" s="16">
        <f>_xll.BDH("AMZN US Equity","CF_CASH_FROM_OPER","FQ3 1999","FQ3 1999","Currency=USD","Period=FQ","BEST_FPERIOD_OVERRIDE=FQ","FILING_STATUS=OR","SCALING_FORMAT=MLN","Sort=A","Dates=H","DateFormat=P","Fill=—","Direction=H","UseDPDF=Y")</f>
        <v>-75.572999999999993</v>
      </c>
      <c r="F18" s="16">
        <f>_xll.BDH("AMZN US Equity","CF_CASH_FROM_OPER","FQ4 1999","FQ4 1999","Currency=USD","Period=FQ","BEST_FPERIOD_OVERRIDE=FQ","FILING_STATUS=OR","SCALING_FORMAT=MLN","Sort=A","Dates=H","DateFormat=P","Fill=—","Direction=H","UseDPDF=Y")</f>
        <v>31.506</v>
      </c>
      <c r="G18" s="16">
        <f>_xll.BDH("AMZN US Equity","CF_CASH_FROM_OPER","FQ1 2000","FQ1 2000","Currency=USD","Period=FQ","BEST_FPERIOD_OVERRIDE=FQ","FILING_STATUS=OR","SCALING_FORMAT=MLN","Sort=A","Dates=H","DateFormat=P","Fill=—","Direction=H","UseDPDF=Y")</f>
        <v>-320.37799999999999</v>
      </c>
      <c r="H18" s="16">
        <f>_xll.BDH("AMZN US Equity","CF_CASH_FROM_OPER","FQ2 2000","FQ2 2000","Currency=USD","Period=FQ","BEST_FPERIOD_OVERRIDE=FQ","FILING_STATUS=OR","SCALING_FORMAT=MLN","Sort=A","Dates=H","DateFormat=P","Fill=—","Direction=H","UseDPDF=Y")</f>
        <v>-54.029000000000003</v>
      </c>
      <c r="I18" s="16">
        <f>_xll.BDH("AMZN US Equity","CF_CASH_FROM_OPER","FQ3 2000","FQ3 2000","Currency=USD","Period=FQ","BEST_FPERIOD_OVERRIDE=FQ","FILING_STATUS=OR","SCALING_FORMAT=MLN","Sort=A","Dates=H","DateFormat=P","Fill=—","Direction=H","UseDPDF=Y")</f>
        <v>-3.6879999999999997</v>
      </c>
      <c r="J18" s="16">
        <f>_xll.BDH("AMZN US Equity","CF_CASH_FROM_OPER","FQ4 2000","FQ4 2000","Currency=USD","Period=FQ","BEST_FPERIOD_OVERRIDE=FQ","FILING_STATUS=OR","SCALING_FORMAT=MLN","Sort=A","Dates=H","DateFormat=P","Fill=—","Direction=H","UseDPDF=Y")</f>
        <v>263.959</v>
      </c>
      <c r="K18" s="16">
        <f>_xll.BDH("AMZN US Equity","CF_CASH_FROM_OPER","FQ1 2001","FQ1 2001","Currency=USD","Period=FQ","BEST_FPERIOD_OVERRIDE=FQ","FILING_STATUS=OR","SCALING_FORMAT=MLN","Sort=A","Dates=H","DateFormat=P","Fill=—","Direction=H","UseDPDF=Y")</f>
        <v>-406.98399999999998</v>
      </c>
      <c r="L18" s="16">
        <f>_xll.BDH("AMZN US Equity","CF_CASH_FROM_OPER","FQ2 2001","FQ2 2001","Currency=USD","Period=FQ","BEST_FPERIOD_OVERRIDE=FQ","FILING_STATUS=OR","SCALING_FORMAT=MLN","Sort=A","Dates=H","DateFormat=P","Fill=—","Direction=H","UseDPDF=Y")</f>
        <v>2.4849999999999999</v>
      </c>
      <c r="M18" s="16">
        <f>_xll.BDH("AMZN US Equity","CF_CASH_FROM_OPER","FQ3 2001","FQ3 2001","Currency=USD","Period=FQ","BEST_FPERIOD_OVERRIDE=FQ","FILING_STATUS=OR","SCALING_FORMAT=MLN","Sort=A","Dates=H","DateFormat=P","Fill=—","Direction=H","UseDPDF=Y")</f>
        <v>-64.403000000000006</v>
      </c>
      <c r="N18" s="16">
        <f>_xll.BDH("AMZN US Equity","CF_CASH_FROM_OPER","FQ4 2001","FQ4 2001","Currency=USD","Period=FQ","BEST_FPERIOD_OVERRIDE=FQ","FILING_STATUS=OR","SCALING_FORMAT=MLN","Sort=A","Dates=H","DateFormat=P","Fill=—","Direction=H","UseDPDF=Y")</f>
        <v>349.12</v>
      </c>
      <c r="O18" s="16">
        <f>_xll.BDH("AMZN US Equity","CF_CASH_FROM_OPER","FQ1 2002","FQ1 2002","Currency=USD","Period=FQ","BEST_FPERIOD_OVERRIDE=FQ","FILING_STATUS=OR","SCALING_FORMAT=MLN","Sort=A","Dates=H","DateFormat=P","Fill=—","Direction=H","UseDPDF=Y")</f>
        <v>-241.03299999999999</v>
      </c>
      <c r="P18" s="16">
        <f>_xll.BDH("AMZN US Equity","CF_CASH_FROM_OPER","FQ2 2002","FQ2 2002","Currency=USD","Period=FQ","BEST_FPERIOD_OVERRIDE=FQ","FILING_STATUS=OR","SCALING_FORMAT=MLN","Sort=A","Dates=H","DateFormat=P","Fill=—","Direction=H","UseDPDF=Y")</f>
        <v>4.6370000000000005</v>
      </c>
      <c r="Q18" s="16">
        <f>_xll.BDH("AMZN US Equity","CF_CASH_FROM_OPER","FQ3 2002","FQ3 2002","Currency=USD","Period=FQ","BEST_FPERIOD_OVERRIDE=FQ","FILING_STATUS=OR","SCALING_FORMAT=MLN","Sort=A","Dates=H","DateFormat=P","Fill=—","Direction=H","UseDPDF=Y")</f>
        <v>38.107999999999997</v>
      </c>
      <c r="R18" s="16">
        <f>_xll.BDH("AMZN US Equity","CF_CASH_FROM_OPER","FQ4 2002","FQ4 2002","Currency=USD","Period=FQ","BEST_FPERIOD_OVERRIDE=FQ","FILING_STATUS=OR","SCALING_FORMAT=MLN","Sort=A","Dates=H","DateFormat=P","Fill=—","Direction=H","UseDPDF=Y")</f>
        <v>372.57900000000001</v>
      </c>
      <c r="S18" s="16">
        <f>_xll.BDH("AMZN US Equity","CF_CASH_FROM_OPER","FQ1 2003","FQ1 2003","Currency=USD","Period=FQ","BEST_FPERIOD_OVERRIDE=FQ","FILING_STATUS=OR","SCALING_FORMAT=MLN","Sort=A","Dates=H","DateFormat=P","Fill=—","Direction=H","UseDPDF=Y")</f>
        <v>-251.78200000000001</v>
      </c>
      <c r="T18" s="16">
        <f>_xll.BDH("AMZN US Equity","CF_CASH_FROM_OPER","FQ2 2003","FQ2 2003","Currency=USD","Period=FQ","BEST_FPERIOD_OVERRIDE=FQ","FILING_STATUS=OR","SCALING_FORMAT=MLN","Sort=A","Dates=H","DateFormat=P","Fill=—","Direction=H","UseDPDF=Y")</f>
        <v>126.024</v>
      </c>
      <c r="U18" s="16">
        <f>_xll.BDH("AMZN US Equity","CF_CASH_FROM_OPER","FQ3 2003","FQ3 2003","Currency=USD","Period=FQ","BEST_FPERIOD_OVERRIDE=FQ","FILING_STATUS=OR","SCALING_FORMAT=MLN","Sort=A","Dates=H","DateFormat=P","Fill=—","Direction=H","UseDPDF=Y")</f>
        <v>36.817</v>
      </c>
      <c r="V18" s="16">
        <f>_xll.BDH("AMZN US Equity","CF_CASH_FROM_OPER","FQ4 2003","FQ4 2003","Currency=USD","Period=FQ","BEST_FPERIOD_OVERRIDE=FQ","FILING_STATUS=OR","SCALING_FORMAT=MLN","Sort=A","Dates=H","DateFormat=P","Fill=—","Direction=H","UseDPDF=Y")</f>
        <v>480.96300000000002</v>
      </c>
      <c r="W18" s="16">
        <f>_xll.BDH("AMZN US Equity","CF_CASH_FROM_OPER","FQ1 2004","FQ1 2004","Currency=USD","Period=FQ","BEST_FPERIOD_OVERRIDE=FQ","FILING_STATUS=OR","SCALING_FORMAT=MLN","Sort=A","Dates=H","DateFormat=P","Fill=—","Direction=H","UseDPDF=Y")</f>
        <v>-250.68799999999999</v>
      </c>
      <c r="X18" s="16">
        <f>_xll.BDH("AMZN US Equity","CF_CASH_FROM_OPER","FQ2 2004","FQ2 2004","Currency=USD","Period=FQ","BEST_FPERIOD_OVERRIDE=FQ","FILING_STATUS=OR","SCALING_FORMAT=MLN","Sort=A","Dates=H","DateFormat=P","Fill=—","Direction=H","UseDPDF=Y")</f>
        <v>143.036</v>
      </c>
      <c r="Y18" s="16">
        <f>_xll.BDH("AMZN US Equity","CF_CASH_FROM_OPER","FQ3 2004","FQ3 2004","Currency=USD","Period=FQ","BEST_FPERIOD_OVERRIDE=FQ","FILING_STATUS=OR","SCALING_FORMAT=MLN","Sort=A","Dates=H","DateFormat=P","Fill=—","Direction=H","UseDPDF=Y")</f>
        <v>116.645</v>
      </c>
      <c r="Z18" s="16">
        <f>_xll.BDH("AMZN US Equity","CF_CASH_FROM_OPER","FQ4 2004","FQ4 2004","Currency=USD","Period=FQ","BEST_FPERIOD_OVERRIDE=FQ","FILING_STATUS=OR","SCALING_FORMAT=MLN","Sort=A","Dates=H","DateFormat=P","Fill=—","Direction=H","UseDPDF=Y")</f>
        <v>557.56700000000001</v>
      </c>
      <c r="AA18" s="16">
        <f>_xll.BDH("AMZN US Equity","CF_CASH_FROM_OPER","FQ1 2005","FQ1 2005","Currency=USD","Period=FQ","BEST_FPERIOD_OVERRIDE=FQ","FILING_STATUS=OR","SCALING_FORMAT=MLN","Sort=A","Dates=H","DateFormat=P","Fill=—","Direction=H","UseDPDF=Y")</f>
        <v>-294</v>
      </c>
      <c r="AB18" s="16">
        <f>_xll.BDH("AMZN US Equity","CF_CASH_FROM_OPER","FQ2 2005","FQ2 2005","Currency=USD","Period=FQ","BEST_FPERIOD_OVERRIDE=FQ","FILING_STATUS=OR","SCALING_FORMAT=MLN","Sort=A","Dates=H","DateFormat=P","Fill=—","Direction=H","UseDPDF=Y")</f>
        <v>244</v>
      </c>
      <c r="AC18" s="16">
        <f>_xll.BDH("AMZN US Equity","CF_CASH_FROM_OPER","FQ3 2005","FQ3 2005","Currency=USD","Period=FQ","BEST_FPERIOD_OVERRIDE=FQ","FILING_STATUS=OR","SCALING_FORMAT=MLN","Sort=A","Dates=H","DateFormat=P","Fill=—","Direction=H","UseDPDF=Y")</f>
        <v>153</v>
      </c>
      <c r="AD18" s="16">
        <f>_xll.BDH("AMZN US Equity","CF_CASH_FROM_OPER","FQ4 2005","FQ4 2005","Currency=USD","Period=FQ","BEST_FPERIOD_OVERRIDE=FQ","FILING_STATUS=OR","SCALING_FORMAT=MLN","Sort=A","Dates=H","DateFormat=P","Fill=—","Direction=H","UseDPDF=Y")</f>
        <v>630</v>
      </c>
      <c r="AE18" s="16">
        <f>_xll.BDH("AMZN US Equity","CF_CASH_FROM_OPER","FQ1 2006","FQ1 2006","Currency=USD","Period=FQ","BEST_FPERIOD_OVERRIDE=FQ","FILING_STATUS=OR","SCALING_FORMAT=MLN","Sort=A","Dates=H","DateFormat=P","Fill=—","Direction=H","UseDPDF=Y")</f>
        <v>-303</v>
      </c>
      <c r="AF18" s="16">
        <f>_xll.BDH("AMZN US Equity","CF_CASH_FROM_OPER","FQ2 2006","FQ2 2006","Currency=USD","Period=FQ","BEST_FPERIOD_OVERRIDE=FQ","FILING_STATUS=OR","SCALING_FORMAT=MLN","Sort=A","Dates=H","DateFormat=P","Fill=—","Direction=H","UseDPDF=Y")</f>
        <v>130</v>
      </c>
      <c r="AG18" s="16">
        <f>_xll.BDH("AMZN US Equity","CF_CASH_FROM_OPER","FQ3 2006","FQ3 2006","Currency=USD","Period=FQ","BEST_FPERIOD_OVERRIDE=FQ","FILING_STATUS=OR","SCALING_FORMAT=MLN","Sort=A","Dates=H","DateFormat=P","Fill=—","Direction=H","UseDPDF=Y")</f>
        <v>130</v>
      </c>
      <c r="AH18" s="16">
        <f>_xll.BDH("AMZN US Equity","CF_CASH_FROM_OPER","FQ4 2006","FQ4 2006","Currency=USD","Period=FQ","BEST_FPERIOD_OVERRIDE=FQ","FILING_STATUS=OR","SCALING_FORMAT=MLN","Sort=A","Dates=H","DateFormat=P","Fill=—","Direction=H","UseDPDF=Y")</f>
        <v>745</v>
      </c>
      <c r="AI18" s="16">
        <f>_xll.BDH("AMZN US Equity","CF_CASH_FROM_OPER","FQ1 2007","FQ1 2007","Currency=USD","Period=FQ","BEST_FPERIOD_OVERRIDE=FQ","FILING_STATUS=OR","SCALING_FORMAT=MLN","Sort=A","Dates=H","DateFormat=P","Fill=—","Direction=H","UseDPDF=Y")</f>
        <v>-279</v>
      </c>
      <c r="AJ18" s="16">
        <f>_xll.BDH("AMZN US Equity","CF_CASH_FROM_OPER","FQ2 2007","FQ2 2007","Currency=USD","Period=FQ","BEST_FPERIOD_OVERRIDE=FQ","FILING_STATUS=OR","SCALING_FORMAT=MLN","Sort=A","Dates=H","DateFormat=P","Fill=—","Direction=H","UseDPDF=Y")</f>
        <v>299</v>
      </c>
      <c r="AK18" s="16">
        <f>_xll.BDH("AMZN US Equity","CF_CASH_FROM_OPER","FQ3 2007","FQ3 2007","Currency=USD","Period=FQ","BEST_FPERIOD_OVERRIDE=FQ","FILING_STATUS=OR","SCALING_FORMAT=MLN","Sort=A","Dates=H","DateFormat=P","Fill=—","Direction=H","UseDPDF=Y")</f>
        <v>237</v>
      </c>
      <c r="AL18" s="16">
        <f>_xll.BDH("AMZN US Equity","CF_CASH_FROM_OPER","FQ4 2007","FQ4 2007","Currency=USD","Period=FQ","BEST_FPERIOD_OVERRIDE=FQ","FILING_STATUS=OR","SCALING_FORMAT=MLN","Sort=A","Dates=H","DateFormat=P","Fill=—","Direction=H","UseDPDF=Y")</f>
        <v>1149</v>
      </c>
      <c r="AM18" s="16">
        <f>_xll.BDH("AMZN US Equity","CF_CASH_FROM_OPER","FQ1 2008","FQ1 2008","Currency=USD","Period=FQ","BEST_FPERIOD_OVERRIDE=FQ","FILING_STATUS=OR","SCALING_FORMAT=MLN","Sort=A","Dates=H","DateFormat=P","Fill=—","Direction=H","UseDPDF=Y")</f>
        <v>-645</v>
      </c>
      <c r="AN18" s="16">
        <f>_xll.BDH("AMZN US Equity","CF_CASH_FROM_OPER","FQ2 2008","FQ2 2008","Currency=USD","Period=FQ","BEST_FPERIOD_OVERRIDE=FQ","FILING_STATUS=OR","SCALING_FORMAT=MLN","Sort=A","Dates=H","DateFormat=P","Fill=—","Direction=H","UseDPDF=Y")</f>
        <v>347</v>
      </c>
      <c r="AO18" s="16">
        <f>_xll.BDH("AMZN US Equity","CF_CASH_FROM_OPER","FQ3 2008","FQ3 2008","Currency=USD","Period=FQ","BEST_FPERIOD_OVERRIDE=FQ","FILING_STATUS=OR","SCALING_FORMAT=MLN","Sort=A","Dates=H","DateFormat=P","Fill=—","Direction=H","UseDPDF=Y")</f>
        <v>424</v>
      </c>
      <c r="AP18" s="16">
        <f>_xll.BDH("AMZN US Equity","CF_CASH_FROM_OPER","FQ4 2008","FQ4 2008","Currency=USD","Period=FQ","BEST_FPERIOD_OVERRIDE=FQ","FILING_STATUS=OR","SCALING_FORMAT=MLN","Sort=A","Dates=H","DateFormat=P","Fill=—","Direction=H","UseDPDF=Y")</f>
        <v>1571</v>
      </c>
    </row>
    <row r="19" spans="1:42" x14ac:dyDescent="0.25">
      <c r="A19" s="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spans="1:42" x14ac:dyDescent="0.25">
      <c r="A20" s="6" t="s">
        <v>324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1:42" x14ac:dyDescent="0.25">
      <c r="A21" s="10" t="s">
        <v>325</v>
      </c>
      <c r="B21" s="10" t="s">
        <v>326</v>
      </c>
      <c r="C21" s="13">
        <f>_xll.BDH("AMZN US Equity","CHG_IN_FXD_&amp;_INTANG_AST_DETAILED","FQ1 1999","FQ1 1999","Currency=USD","Period=FQ","BEST_FPERIOD_OVERRIDE=FQ","FILING_STATUS=OR","SCALING_FORMAT=MLN","Sort=A","Dates=H","DateFormat=P","Fill=—","Direction=H","UseDPDF=Y")</f>
        <v>-19.062000000000001</v>
      </c>
      <c r="D21" s="13">
        <f>_xll.BDH("AMZN US Equity","CHG_IN_FXD_&amp;_INTANG_AST_DETAILED","FQ2 1999","FQ2 1999","Currency=USD","Period=FQ","BEST_FPERIOD_OVERRIDE=FQ","FILING_STATUS=OR","SCALING_FORMAT=MLN","Sort=A","Dates=H","DateFormat=P","Fill=—","Direction=H","UseDPDF=Y")</f>
        <v>-92.034999999999997</v>
      </c>
      <c r="E21" s="13">
        <f>_xll.BDH("AMZN US Equity","CHG_IN_FXD_&amp;_INTANG_AST_DETAILED","FQ3 1999","FQ3 1999","Currency=USD","Period=FQ","BEST_FPERIOD_OVERRIDE=FQ","FILING_STATUS=OR","SCALING_FORMAT=MLN","Sort=A","Dates=H","DateFormat=P","Fill=—","Direction=H","UseDPDF=Y")</f>
        <v>-70.762</v>
      </c>
      <c r="F21" s="13">
        <f>_xll.BDH("AMZN US Equity","CHG_IN_FXD_&amp;_INTANG_AST_DETAILED","FQ4 1999","FQ4 1999","Currency=USD","Period=FQ","BEST_FPERIOD_OVERRIDE=FQ","FILING_STATUS=OR","SCALING_FORMAT=MLN","Sort=A","Dates=H","DateFormat=P","Fill=—","Direction=H","UseDPDF=Y")</f>
        <v>-105.196</v>
      </c>
      <c r="G21" s="13">
        <f>_xll.BDH("AMZN US Equity","CHG_IN_FXD_&amp;_INTANG_AST_DETAILED","FQ1 2000","FQ1 2000","Currency=USD","Period=FQ","BEST_FPERIOD_OVERRIDE=FQ","FILING_STATUS=OR","SCALING_FORMAT=MLN","Sort=A","Dates=H","DateFormat=P","Fill=—","Direction=H","UseDPDF=Y")</f>
        <v>-26.600999999999999</v>
      </c>
      <c r="H21" s="13">
        <f>_xll.BDH("AMZN US Equity","CHG_IN_FXD_&amp;_INTANG_AST_DETAILED","FQ2 2000","FQ2 2000","Currency=USD","Period=FQ","BEST_FPERIOD_OVERRIDE=FQ","FILING_STATUS=OR","SCALING_FORMAT=MLN","Sort=A","Dates=H","DateFormat=P","Fill=—","Direction=H","UseDPDF=Y")</f>
        <v>-28.878</v>
      </c>
      <c r="I21" s="13">
        <f>_xll.BDH("AMZN US Equity","CHG_IN_FXD_&amp;_INTANG_AST_DETAILED","FQ3 2000","FQ3 2000","Currency=USD","Period=FQ","BEST_FPERIOD_OVERRIDE=FQ","FILING_STATUS=OR","SCALING_FORMAT=MLN","Sort=A","Dates=H","DateFormat=P","Fill=—","Direction=H","UseDPDF=Y")</f>
        <v>-41.948</v>
      </c>
      <c r="J21" s="13">
        <f>_xll.BDH("AMZN US Equity","CHG_IN_FXD_&amp;_INTANG_AST_DETAILED","FQ4 2000","FQ4 2000","Currency=USD","Period=FQ","BEST_FPERIOD_OVERRIDE=FQ","FILING_STATUS=OR","SCALING_FORMAT=MLN","Sort=A","Dates=H","DateFormat=P","Fill=—","Direction=H","UseDPDF=Y")</f>
        <v>-37.331000000000003</v>
      </c>
      <c r="K21" s="13">
        <f>_xll.BDH("AMZN US Equity","CHG_IN_FXD_&amp;_INTANG_AST_DETAILED","FQ1 2001","FQ1 2001","Currency=USD","Period=FQ","BEST_FPERIOD_OVERRIDE=FQ","FILING_STATUS=OR","SCALING_FORMAT=MLN","Sort=A","Dates=H","DateFormat=P","Fill=—","Direction=H","UseDPDF=Y")</f>
        <v>-19.437000000000001</v>
      </c>
      <c r="L21" s="13">
        <f>_xll.BDH("AMZN US Equity","CHG_IN_FXD_&amp;_INTANG_AST_DETAILED","FQ2 2001","FQ2 2001","Currency=USD","Period=FQ","BEST_FPERIOD_OVERRIDE=FQ","FILING_STATUS=OR","SCALING_FORMAT=MLN","Sort=A","Dates=H","DateFormat=P","Fill=—","Direction=H","UseDPDF=Y")</f>
        <v>-10.425000000000001</v>
      </c>
      <c r="M21" s="13">
        <f>_xll.BDH("AMZN US Equity","CHG_IN_FXD_&amp;_INTANG_AST_DETAILED","FQ3 2001","FQ3 2001","Currency=USD","Period=FQ","BEST_FPERIOD_OVERRIDE=FQ","FILING_STATUS=OR","SCALING_FORMAT=MLN","Sort=A","Dates=H","DateFormat=P","Fill=—","Direction=H","UseDPDF=Y")</f>
        <v>-12.925000000000001</v>
      </c>
      <c r="N21" s="13">
        <f>_xll.BDH("AMZN US Equity","CHG_IN_FXD_&amp;_INTANG_AST_DETAILED","FQ4 2001","FQ4 2001","Currency=USD","Period=FQ","BEST_FPERIOD_OVERRIDE=FQ","FILING_STATUS=OR","SCALING_FORMAT=MLN","Sort=A","Dates=H","DateFormat=P","Fill=—","Direction=H","UseDPDF=Y")</f>
        <v>-7.5339999999999998</v>
      </c>
      <c r="O21" s="13">
        <f>_xll.BDH("AMZN US Equity","CHG_IN_FXD_&amp;_INTANG_AST_DETAILED","FQ1 2002","FQ1 2002","Currency=USD","Period=FQ","BEST_FPERIOD_OVERRIDE=FQ","FILING_STATUS=OR","SCALING_FORMAT=MLN","Sort=A","Dates=H","DateFormat=P","Fill=—","Direction=H","UseDPDF=Y")</f>
        <v>-4.8540000000000001</v>
      </c>
      <c r="P21" s="13">
        <f>_xll.BDH("AMZN US Equity","CHG_IN_FXD_&amp;_INTANG_AST_DETAILED","FQ2 2002","FQ2 2002","Currency=USD","Period=FQ","BEST_FPERIOD_OVERRIDE=FQ","FILING_STATUS=OR","SCALING_FORMAT=MLN","Sort=A","Dates=H","DateFormat=P","Fill=—","Direction=H","UseDPDF=Y")</f>
        <v>-7.44</v>
      </c>
      <c r="Q21" s="13">
        <f>_xll.BDH("AMZN US Equity","CHG_IN_FXD_&amp;_INTANG_AST_DETAILED","FQ3 2002","FQ3 2002","Currency=USD","Period=FQ","BEST_FPERIOD_OVERRIDE=FQ","FILING_STATUS=OR","SCALING_FORMAT=MLN","Sort=A","Dates=H","DateFormat=P","Fill=—","Direction=H","UseDPDF=Y")</f>
        <v>-11.353</v>
      </c>
      <c r="R21" s="13">
        <f>_xll.BDH("AMZN US Equity","CHG_IN_FXD_&amp;_INTANG_AST_DETAILED","FQ4 2002","FQ4 2002","Currency=USD","Period=FQ","BEST_FPERIOD_OVERRIDE=FQ","FILING_STATUS=OR","SCALING_FORMAT=MLN","Sort=A","Dates=H","DateFormat=P","Fill=—","Direction=H","UseDPDF=Y")</f>
        <v>-15.516</v>
      </c>
      <c r="S21" s="13">
        <f>_xll.BDH("AMZN US Equity","CHG_IN_FXD_&amp;_INTANG_AST_DETAILED","FQ1 2003","FQ1 2003","Currency=USD","Period=FQ","BEST_FPERIOD_OVERRIDE=FQ","FILING_STATUS=OR","SCALING_FORMAT=MLN","Sort=A","Dates=H","DateFormat=P","Fill=—","Direction=H","UseDPDF=Y")</f>
        <v>-6.3940000000000001</v>
      </c>
      <c r="T21" s="13">
        <f>_xll.BDH("AMZN US Equity","CHG_IN_FXD_&amp;_INTANG_AST_DETAILED","FQ2 2003","FQ2 2003","Currency=USD","Period=FQ","BEST_FPERIOD_OVERRIDE=FQ","FILING_STATUS=OR","SCALING_FORMAT=MLN","Sort=A","Dates=H","DateFormat=P","Fill=—","Direction=H","UseDPDF=Y")</f>
        <v>-7.141</v>
      </c>
      <c r="U21" s="13">
        <f>_xll.BDH("AMZN US Equity","CHG_IN_FXD_&amp;_INTANG_AST_DETAILED","FQ3 2003","FQ3 2003","Currency=USD","Period=FQ","BEST_FPERIOD_OVERRIDE=FQ","FILING_STATUS=OR","SCALING_FORMAT=MLN","Sort=A","Dates=H","DateFormat=P","Fill=—","Direction=H","UseDPDF=Y")</f>
        <v>-15.192</v>
      </c>
      <c r="V21" s="13">
        <f>_xll.BDH("AMZN US Equity","CHG_IN_FXD_&amp;_INTANG_AST_DETAILED","FQ4 2003","FQ4 2003","Currency=USD","Period=FQ","BEST_FPERIOD_OVERRIDE=FQ","FILING_STATUS=OR","SCALING_FORMAT=MLN","Sort=A","Dates=H","DateFormat=P","Fill=—","Direction=H","UseDPDF=Y")</f>
        <v>-17.236000000000001</v>
      </c>
      <c r="W21" s="13">
        <f>_xll.BDH("AMZN US Equity","CHG_IN_FXD_&amp;_INTANG_AST_DETAILED","FQ1 2004","FQ1 2004","Currency=USD","Period=FQ","BEST_FPERIOD_OVERRIDE=FQ","FILING_STATUS=OR","SCALING_FORMAT=MLN","Sort=A","Dates=H","DateFormat=P","Fill=—","Direction=H","UseDPDF=Y")</f>
        <v>-9.5129999999999999</v>
      </c>
      <c r="X21" s="13">
        <f>_xll.BDH("AMZN US Equity","CHG_IN_FXD_&amp;_INTANG_AST_DETAILED","FQ2 2004","FQ2 2004","Currency=USD","Period=FQ","BEST_FPERIOD_OVERRIDE=FQ","FILING_STATUS=OR","SCALING_FORMAT=MLN","Sort=A","Dates=H","DateFormat=P","Fill=—","Direction=H","UseDPDF=Y")</f>
        <v>-14.143000000000001</v>
      </c>
      <c r="Y21" s="13">
        <f>_xll.BDH("AMZN US Equity","CHG_IN_FXD_&amp;_INTANG_AST_DETAILED","FQ3 2004","FQ3 2004","Currency=USD","Period=FQ","BEST_FPERIOD_OVERRIDE=FQ","FILING_STATUS=OR","SCALING_FORMAT=MLN","Sort=A","Dates=H","DateFormat=P","Fill=—","Direction=H","UseDPDF=Y")</f>
        <v>-28.722000000000001</v>
      </c>
      <c r="Z21" s="13">
        <f>_xll.BDH("AMZN US Equity","CHG_IN_FXD_&amp;_INTANG_AST_DETAILED","FQ4 2004","FQ4 2004","Currency=USD","Period=FQ","BEST_FPERIOD_OVERRIDE=FQ","FILING_STATUS=OR","SCALING_FORMAT=MLN","Sort=A","Dates=H","DateFormat=P","Fill=—","Direction=H","UseDPDF=Y")</f>
        <v>-36.755000000000003</v>
      </c>
      <c r="AA21" s="13">
        <f>_xll.BDH("AMZN US Equity","CHG_IN_FXD_&amp;_INTANG_AST_DETAILED","FQ1 2005","FQ1 2005","Currency=USD","Period=FQ","BEST_FPERIOD_OVERRIDE=FQ","FILING_STATUS=OR","SCALING_FORMAT=MLN","Sort=A","Dates=H","DateFormat=P","Fill=—","Direction=H","UseDPDF=Y")</f>
        <v>-26</v>
      </c>
      <c r="AB21" s="13">
        <f>_xll.BDH("AMZN US Equity","CHG_IN_FXD_&amp;_INTANG_AST_DETAILED","FQ2 2005","FQ2 2005","Currency=USD","Period=FQ","BEST_FPERIOD_OVERRIDE=FQ","FILING_STATUS=OR","SCALING_FORMAT=MLN","Sort=A","Dates=H","DateFormat=P","Fill=—","Direction=H","UseDPDF=Y")</f>
        <v>-46</v>
      </c>
      <c r="AC21" s="13">
        <f>_xll.BDH("AMZN US Equity","CHG_IN_FXD_&amp;_INTANG_AST_DETAILED","FQ3 2005","FQ3 2005","Currency=USD","Period=FQ","BEST_FPERIOD_OVERRIDE=FQ","FILING_STATUS=OR","SCALING_FORMAT=MLN","Sort=A","Dates=H","DateFormat=P","Fill=—","Direction=H","UseDPDF=Y")</f>
        <v>-76</v>
      </c>
      <c r="AD21" s="13">
        <f>_xll.BDH("AMZN US Equity","CHG_IN_FXD_&amp;_INTANG_AST_DETAILED","FQ4 2005","FQ4 2005","Currency=USD","Period=FQ","BEST_FPERIOD_OVERRIDE=FQ","FILING_STATUS=OR","SCALING_FORMAT=MLN","Sort=A","Dates=H","DateFormat=P","Fill=—","Direction=H","UseDPDF=Y")</f>
        <v>-56</v>
      </c>
      <c r="AE21" s="13">
        <f>_xll.BDH("AMZN US Equity","CHG_IN_FXD_&amp;_INTANG_AST_DETAILED","FQ1 2006","FQ1 2006","Currency=USD","Period=FQ","BEST_FPERIOD_OVERRIDE=FQ","FILING_STATUS=OR","SCALING_FORMAT=MLN","Sort=A","Dates=H","DateFormat=P","Fill=—","Direction=H","UseDPDF=Y")</f>
        <v>-46</v>
      </c>
      <c r="AF21" s="13">
        <f>_xll.BDH("AMZN US Equity","CHG_IN_FXD_&amp;_INTANG_AST_DETAILED","FQ2 2006","FQ2 2006","Currency=USD","Period=FQ","BEST_FPERIOD_OVERRIDE=FQ","FILING_STATUS=OR","SCALING_FORMAT=MLN","Sort=A","Dates=H","DateFormat=P","Fill=—","Direction=H","UseDPDF=Y")</f>
        <v>-58</v>
      </c>
      <c r="AG21" s="13">
        <f>_xll.BDH("AMZN US Equity","CHG_IN_FXD_&amp;_INTANG_AST_DETAILED","FQ3 2006","FQ3 2006","Currency=USD","Period=FQ","BEST_FPERIOD_OVERRIDE=FQ","FILING_STATUS=OR","SCALING_FORMAT=MLN","Sort=A","Dates=H","DateFormat=P","Fill=—","Direction=H","UseDPDF=Y")</f>
        <v>-62</v>
      </c>
      <c r="AH21" s="13">
        <f>_xll.BDH("AMZN US Equity","CHG_IN_FXD_&amp;_INTANG_AST_DETAILED","FQ4 2006","FQ4 2006","Currency=USD","Period=FQ","BEST_FPERIOD_OVERRIDE=FQ","FILING_STATUS=OR","SCALING_FORMAT=MLN","Sort=A","Dates=H","DateFormat=P","Fill=—","Direction=H","UseDPDF=Y")</f>
        <v>-50</v>
      </c>
      <c r="AI21" s="13">
        <f>_xll.BDH("AMZN US Equity","CHG_IN_FXD_&amp;_INTANG_AST_DETAILED","FQ1 2007","FQ1 2007","Currency=USD","Period=FQ","BEST_FPERIOD_OVERRIDE=FQ","FILING_STATUS=OR","SCALING_FORMAT=MLN","Sort=A","Dates=H","DateFormat=P","Fill=—","Direction=H","UseDPDF=Y")</f>
        <v>-34</v>
      </c>
      <c r="AJ21" s="13">
        <f>_xll.BDH("AMZN US Equity","CHG_IN_FXD_&amp;_INTANG_AST_DETAILED","FQ2 2007","FQ2 2007","Currency=USD","Period=FQ","BEST_FPERIOD_OVERRIDE=FQ","FILING_STATUS=OR","SCALING_FORMAT=MLN","Sort=A","Dates=H","DateFormat=P","Fill=—","Direction=H","UseDPDF=Y")</f>
        <v>-47</v>
      </c>
      <c r="AK21" s="13">
        <f>_xll.BDH("AMZN US Equity","CHG_IN_FXD_&amp;_INTANG_AST_DETAILED","FQ3 2007","FQ3 2007","Currency=USD","Period=FQ","BEST_FPERIOD_OVERRIDE=FQ","FILING_STATUS=OR","SCALING_FORMAT=MLN","Sort=A","Dates=H","DateFormat=P","Fill=—","Direction=H","UseDPDF=Y")</f>
        <v>-69</v>
      </c>
      <c r="AL21" s="13">
        <f>_xll.BDH("AMZN US Equity","CHG_IN_FXD_&amp;_INTANG_AST_DETAILED","FQ4 2007","FQ4 2007","Currency=USD","Period=FQ","BEST_FPERIOD_OVERRIDE=FQ","FILING_STATUS=OR","SCALING_FORMAT=MLN","Sort=A","Dates=H","DateFormat=P","Fill=—","Direction=H","UseDPDF=Y")</f>
        <v>-73</v>
      </c>
      <c r="AM21" s="13">
        <f>_xll.BDH("AMZN US Equity","CHG_IN_FXD_&amp;_INTANG_AST_DETAILED","FQ1 2008","FQ1 2008","Currency=USD","Period=FQ","BEST_FPERIOD_OVERRIDE=FQ","FILING_STATUS=OR","SCALING_FORMAT=MLN","Sort=A","Dates=H","DateFormat=P","Fill=—","Direction=H","UseDPDF=Y")</f>
        <v>-61</v>
      </c>
      <c r="AN21" s="13">
        <f>_xll.BDH("AMZN US Equity","CHG_IN_FXD_&amp;_INTANG_AST_DETAILED","FQ2 2008","FQ2 2008","Currency=USD","Period=FQ","BEST_FPERIOD_OVERRIDE=FQ","FILING_STATUS=OR","SCALING_FORMAT=MLN","Sort=A","Dates=H","DateFormat=P","Fill=—","Direction=H","UseDPDF=Y")</f>
        <v>-69</v>
      </c>
      <c r="AO21" s="13">
        <f>_xll.BDH("AMZN US Equity","CHG_IN_FXD_&amp;_INTANG_AST_DETAILED","FQ3 2008","FQ3 2008","Currency=USD","Period=FQ","BEST_FPERIOD_OVERRIDE=FQ","FILING_STATUS=OR","SCALING_FORMAT=MLN","Sort=A","Dates=H","DateFormat=P","Fill=—","Direction=H","UseDPDF=Y")</f>
        <v>-102</v>
      </c>
      <c r="AP21" s="13">
        <f>_xll.BDH("AMZN US Equity","CHG_IN_FXD_&amp;_INTANG_AST_DETAILED","FQ4 2008","FQ4 2008","Currency=USD","Period=FQ","BEST_FPERIOD_OVERRIDE=FQ","FILING_STATUS=OR","SCALING_FORMAT=MLN","Sort=A","Dates=H","DateFormat=P","Fill=—","Direction=H","UseDPDF=Y")</f>
        <v>-101</v>
      </c>
    </row>
    <row r="22" spans="1:42" x14ac:dyDescent="0.25">
      <c r="A22" s="10" t="s">
        <v>327</v>
      </c>
      <c r="B22" s="10" t="s">
        <v>328</v>
      </c>
      <c r="C22" s="13">
        <f>_xll.BDH("AMZN US Equity","DISP_FXD_&amp;_INTANGIBLES_DETAILED","FQ1 1999","FQ1 1999","Currency=USD","Period=FQ","BEST_FPERIOD_OVERRIDE=FQ","FILING_STATUS=OR","SCALING_FORMAT=MLN","Sort=A","Dates=H","DateFormat=P","Fill=—","Direction=H","UseDPDF=Y")</f>
        <v>0</v>
      </c>
      <c r="D22" s="13">
        <f>_xll.BDH("AMZN US Equity","DISP_FXD_&amp;_INTANGIBLES_DETAILED","FQ2 1999","FQ2 1999","Currency=USD","Period=FQ","BEST_FPERIOD_OVERRIDE=FQ","FILING_STATUS=OR","SCALING_FORMAT=MLN","Sort=A","Dates=H","DateFormat=P","Fill=—","Direction=H","UseDPDF=Y")</f>
        <v>0</v>
      </c>
      <c r="E22" s="13">
        <f>_xll.BDH("AMZN US Equity","DISP_FXD_&amp;_INTANGIBLES_DETAILED","FQ3 1999","FQ3 1999","Currency=USD","Period=FQ","BEST_FPERIOD_OVERRIDE=FQ","FILING_STATUS=OR","SCALING_FORMAT=MLN","Sort=A","Dates=H","DateFormat=P","Fill=—","Direction=H","UseDPDF=Y")</f>
        <v>0</v>
      </c>
      <c r="F22" s="13">
        <f>_xll.BDH("AMZN US Equity","DISP_FXD_&amp;_INTANGIBLES_DETAILED","FQ4 1999","FQ4 1999","Currency=USD","Period=FQ","BEST_FPERIOD_OVERRIDE=FQ","FILING_STATUS=OR","SCALING_FORMAT=MLN","Sort=A","Dates=H","DateFormat=P","Fill=—","Direction=H","UseDPDF=Y")</f>
        <v>0</v>
      </c>
      <c r="G22" s="13">
        <f>_xll.BDH("AMZN US Equity","DISP_FXD_&amp;_INTANGIBLES_DETAILED","FQ1 2000","FQ1 2000","Currency=USD","Period=FQ","BEST_FPERIOD_OVERRIDE=FQ","FILING_STATUS=OR","SCALING_FORMAT=MLN","Sort=A","Dates=H","DateFormat=P","Fill=—","Direction=H","UseDPDF=Y")</f>
        <v>0</v>
      </c>
      <c r="H22" s="13">
        <f>_xll.BDH("AMZN US Equity","DISP_FXD_&amp;_INTANGIBLES_DETAILED","FQ2 2000","FQ2 2000","Currency=USD","Period=FQ","BEST_FPERIOD_OVERRIDE=FQ","FILING_STATUS=OR","SCALING_FORMAT=MLN","Sort=A","Dates=H","DateFormat=P","Fill=—","Direction=H","UseDPDF=Y")</f>
        <v>0</v>
      </c>
      <c r="I22" s="13">
        <f>_xll.BDH("AMZN US Equity","DISP_FXD_&amp;_INTANGIBLES_DETAILED","FQ3 2000","FQ3 2000","Currency=USD","Period=FQ","BEST_FPERIOD_OVERRIDE=FQ","FILING_STATUS=OR","SCALING_FORMAT=MLN","Sort=A","Dates=H","DateFormat=P","Fill=—","Direction=H","UseDPDF=Y")</f>
        <v>0</v>
      </c>
      <c r="J22" s="13">
        <f>_xll.BDH("AMZN US Equity","DISP_FXD_&amp;_INTANGIBLES_DETAILED","FQ4 2000","FQ4 2000","Currency=USD","Period=FQ","BEST_FPERIOD_OVERRIDE=FQ","FILING_STATUS=OR","SCALING_FORMAT=MLN","Sort=A","Dates=H","DateFormat=P","Fill=—","Direction=H","UseDPDF=Y")</f>
        <v>0</v>
      </c>
      <c r="K22" s="13">
        <f>_xll.BDH("AMZN US Equity","DISP_FXD_&amp;_INTANGIBLES_DETAILED","FQ1 2001","FQ1 2001","Currency=USD","Period=FQ","BEST_FPERIOD_OVERRIDE=FQ","FILING_STATUS=OR","SCALING_FORMAT=MLN","Sort=A","Dates=H","DateFormat=P","Fill=—","Direction=H","UseDPDF=Y")</f>
        <v>0</v>
      </c>
      <c r="L22" s="13">
        <f>_xll.BDH("AMZN US Equity","DISP_FXD_&amp;_INTANGIBLES_DETAILED","FQ2 2001","FQ2 2001","Currency=USD","Period=FQ","BEST_FPERIOD_OVERRIDE=FQ","FILING_STATUS=OR","SCALING_FORMAT=MLN","Sort=A","Dates=H","DateFormat=P","Fill=—","Direction=H","UseDPDF=Y")</f>
        <v>0</v>
      </c>
      <c r="M22" s="13">
        <f>_xll.BDH("AMZN US Equity","DISP_FXD_&amp;_INTANGIBLES_DETAILED","FQ3 2001","FQ3 2001","Currency=USD","Period=FQ","BEST_FPERIOD_OVERRIDE=FQ","FILING_STATUS=OR","SCALING_FORMAT=MLN","Sort=A","Dates=H","DateFormat=P","Fill=—","Direction=H","UseDPDF=Y")</f>
        <v>0</v>
      </c>
      <c r="N22" s="13">
        <f>_xll.BDH("AMZN US Equity","DISP_FXD_&amp;_INTANGIBLES_DETAILED","FQ4 2001","FQ4 2001","Currency=USD","Period=FQ","BEST_FPERIOD_OVERRIDE=FQ","FILING_STATUS=OR","SCALING_FORMAT=MLN","Sort=A","Dates=H","DateFormat=P","Fill=—","Direction=H","UseDPDF=Y")</f>
        <v>0</v>
      </c>
      <c r="O22" s="13">
        <f>_xll.BDH("AMZN US Equity","DISP_FXD_&amp;_INTANGIBLES_DETAILED","FQ1 2002","FQ1 2002","Currency=USD","Period=FQ","BEST_FPERIOD_OVERRIDE=FQ","FILING_STATUS=OR","SCALING_FORMAT=MLN","Sort=A","Dates=H","DateFormat=P","Fill=—","Direction=H","UseDPDF=Y")</f>
        <v>0</v>
      </c>
      <c r="P22" s="13">
        <f>_xll.BDH("AMZN US Equity","DISP_FXD_&amp;_INTANGIBLES_DETAILED","FQ2 2002","FQ2 2002","Currency=USD","Period=FQ","BEST_FPERIOD_OVERRIDE=FQ","FILING_STATUS=OR","SCALING_FORMAT=MLN","Sort=A","Dates=H","DateFormat=P","Fill=—","Direction=H","UseDPDF=Y")</f>
        <v>0</v>
      </c>
      <c r="Q22" s="13">
        <f>_xll.BDH("AMZN US Equity","DISP_FXD_&amp;_INTANGIBLES_DETAILED","FQ3 2002","FQ3 2002","Currency=USD","Period=FQ","BEST_FPERIOD_OVERRIDE=FQ","FILING_STATUS=OR","SCALING_FORMAT=MLN","Sort=A","Dates=H","DateFormat=P","Fill=—","Direction=H","UseDPDF=Y")</f>
        <v>0</v>
      </c>
      <c r="R22" s="13">
        <f>_xll.BDH("AMZN US Equity","DISP_FXD_&amp;_INTANGIBLES_DETAILED","FQ4 2002","FQ4 2002","Currency=USD","Period=FQ","BEST_FPERIOD_OVERRIDE=FQ","FILING_STATUS=OR","SCALING_FORMAT=MLN","Sort=A","Dates=H","DateFormat=P","Fill=—","Direction=H","UseDPDF=Y")</f>
        <v>0</v>
      </c>
      <c r="S22" s="13">
        <f>_xll.BDH("AMZN US Equity","DISP_FXD_&amp;_INTANGIBLES_DETAILED","FQ1 2003","FQ1 2003","Currency=USD","Period=FQ","BEST_FPERIOD_OVERRIDE=FQ","FILING_STATUS=OR","SCALING_FORMAT=MLN","Sort=A","Dates=H","DateFormat=P","Fill=—","Direction=H","UseDPDF=Y")</f>
        <v>0</v>
      </c>
      <c r="T22" s="13">
        <f>_xll.BDH("AMZN US Equity","DISP_FXD_&amp;_INTANGIBLES_DETAILED","FQ2 2003","FQ2 2003","Currency=USD","Period=FQ","BEST_FPERIOD_OVERRIDE=FQ","FILING_STATUS=OR","SCALING_FORMAT=MLN","Sort=A","Dates=H","DateFormat=P","Fill=—","Direction=H","UseDPDF=Y")</f>
        <v>0</v>
      </c>
      <c r="U22" s="13">
        <f>_xll.BDH("AMZN US Equity","DISP_FXD_&amp;_INTANGIBLES_DETAILED","FQ3 2003","FQ3 2003","Currency=USD","Period=FQ","BEST_FPERIOD_OVERRIDE=FQ","FILING_STATUS=OR","SCALING_FORMAT=MLN","Sort=A","Dates=H","DateFormat=P","Fill=—","Direction=H","UseDPDF=Y")</f>
        <v>0</v>
      </c>
      <c r="V22" s="13">
        <f>_xll.BDH("AMZN US Equity","DISP_FXD_&amp;_INTANGIBLES_DETAILED","FQ4 2003","FQ4 2003","Currency=USD","Period=FQ","BEST_FPERIOD_OVERRIDE=FQ","FILING_STATUS=OR","SCALING_FORMAT=MLN","Sort=A","Dates=H","DateFormat=P","Fill=—","Direction=H","UseDPDF=Y")</f>
        <v>0</v>
      </c>
      <c r="W22" s="13">
        <f>_xll.BDH("AMZN US Equity","DISP_FXD_&amp;_INTANGIBLES_DETAILED","FQ1 2004","FQ1 2004","Currency=USD","Period=FQ","BEST_FPERIOD_OVERRIDE=FQ","FILING_STATUS=OR","SCALING_FORMAT=MLN","Sort=A","Dates=H","DateFormat=P","Fill=—","Direction=H","UseDPDF=Y")</f>
        <v>0</v>
      </c>
      <c r="X22" s="13">
        <f>_xll.BDH("AMZN US Equity","DISP_FXD_&amp;_INTANGIBLES_DETAILED","FQ2 2004","FQ2 2004","Currency=USD","Period=FQ","BEST_FPERIOD_OVERRIDE=FQ","FILING_STATUS=OR","SCALING_FORMAT=MLN","Sort=A","Dates=H","DateFormat=P","Fill=—","Direction=H","UseDPDF=Y")</f>
        <v>0</v>
      </c>
      <c r="Y22" s="13">
        <f>_xll.BDH("AMZN US Equity","DISP_FXD_&amp;_INTANGIBLES_DETAILED","FQ3 2004","FQ3 2004","Currency=USD","Period=FQ","BEST_FPERIOD_OVERRIDE=FQ","FILING_STATUS=OR","SCALING_FORMAT=MLN","Sort=A","Dates=H","DateFormat=P","Fill=—","Direction=H","UseDPDF=Y")</f>
        <v>0</v>
      </c>
      <c r="Z22" s="13">
        <f>_xll.BDH("AMZN US Equity","DISP_FXD_&amp;_INTANGIBLES_DETAILED","FQ4 2004","FQ4 2004","Currency=USD","Period=FQ","BEST_FPERIOD_OVERRIDE=FQ","FILING_STATUS=OR","SCALING_FORMAT=MLN","Sort=A","Dates=H","DateFormat=P","Fill=—","Direction=H","UseDPDF=Y")</f>
        <v>0</v>
      </c>
      <c r="AA22" s="13">
        <f>_xll.BDH("AMZN US Equity","DISP_FXD_&amp;_INTANGIBLES_DETAILED","FQ1 2005","FQ1 2005","Currency=USD","Period=FQ","BEST_FPERIOD_OVERRIDE=FQ","FILING_STATUS=OR","SCALING_FORMAT=MLN","Sort=A","Dates=H","DateFormat=P","Fill=—","Direction=H","UseDPDF=Y")</f>
        <v>0</v>
      </c>
      <c r="AB22" s="13">
        <f>_xll.BDH("AMZN US Equity","DISP_FXD_&amp;_INTANGIBLES_DETAILED","FQ2 2005","FQ2 2005","Currency=USD","Period=FQ","BEST_FPERIOD_OVERRIDE=FQ","FILING_STATUS=OR","SCALING_FORMAT=MLN","Sort=A","Dates=H","DateFormat=P","Fill=—","Direction=H","UseDPDF=Y")</f>
        <v>0</v>
      </c>
      <c r="AC22" s="13">
        <f>_xll.BDH("AMZN US Equity","DISP_FXD_&amp;_INTANGIBLES_DETAILED","FQ3 2005","FQ3 2005","Currency=USD","Period=FQ","BEST_FPERIOD_OVERRIDE=FQ","FILING_STATUS=OR","SCALING_FORMAT=MLN","Sort=A","Dates=H","DateFormat=P","Fill=—","Direction=H","UseDPDF=Y")</f>
        <v>0</v>
      </c>
      <c r="AD22" s="13">
        <f>_xll.BDH("AMZN US Equity","DISP_FXD_&amp;_INTANGIBLES_DETAILED","FQ4 2005","FQ4 2005","Currency=USD","Period=FQ","BEST_FPERIOD_OVERRIDE=FQ","FILING_STATUS=OR","SCALING_FORMAT=MLN","Sort=A","Dates=H","DateFormat=P","Fill=—","Direction=H","UseDPDF=Y")</f>
        <v>0</v>
      </c>
      <c r="AE22" s="13">
        <f>_xll.BDH("AMZN US Equity","DISP_FXD_&amp;_INTANGIBLES_DETAILED","FQ1 2006","FQ1 2006","Currency=USD","Period=FQ","BEST_FPERIOD_OVERRIDE=FQ","FILING_STATUS=OR","SCALING_FORMAT=MLN","Sort=A","Dates=H","DateFormat=P","Fill=—","Direction=H","UseDPDF=Y")</f>
        <v>0</v>
      </c>
      <c r="AF22" s="13">
        <f>_xll.BDH("AMZN US Equity","DISP_FXD_&amp;_INTANGIBLES_DETAILED","FQ2 2006","FQ2 2006","Currency=USD","Period=FQ","BEST_FPERIOD_OVERRIDE=FQ","FILING_STATUS=OR","SCALING_FORMAT=MLN","Sort=A","Dates=H","DateFormat=P","Fill=—","Direction=H","UseDPDF=Y")</f>
        <v>0</v>
      </c>
      <c r="AG22" s="13">
        <f>_xll.BDH("AMZN US Equity","DISP_FXD_&amp;_INTANGIBLES_DETAILED","FQ3 2006","FQ3 2006","Currency=USD","Period=FQ","BEST_FPERIOD_OVERRIDE=FQ","FILING_STATUS=OR","SCALING_FORMAT=MLN","Sort=A","Dates=H","DateFormat=P","Fill=—","Direction=H","UseDPDF=Y")</f>
        <v>0</v>
      </c>
      <c r="AH22" s="13">
        <f>_xll.BDH("AMZN US Equity","DISP_FXD_&amp;_INTANGIBLES_DETAILED","FQ4 2006","FQ4 2006","Currency=USD","Period=FQ","BEST_FPERIOD_OVERRIDE=FQ","FILING_STATUS=OR","SCALING_FORMAT=MLN","Sort=A","Dates=H","DateFormat=P","Fill=—","Direction=H","UseDPDF=Y")</f>
        <v>0</v>
      </c>
      <c r="AI22" s="13">
        <f>_xll.BDH("AMZN US Equity","DISP_FXD_&amp;_INTANGIBLES_DETAILED","FQ1 2007","FQ1 2007","Currency=USD","Period=FQ","BEST_FPERIOD_OVERRIDE=FQ","FILING_STATUS=OR","SCALING_FORMAT=MLN","Sort=A","Dates=H","DateFormat=P","Fill=—","Direction=H","UseDPDF=Y")</f>
        <v>0</v>
      </c>
      <c r="AJ22" s="13">
        <f>_xll.BDH("AMZN US Equity","DISP_FXD_&amp;_INTANGIBLES_DETAILED","FQ2 2007","FQ2 2007","Currency=USD","Period=FQ","BEST_FPERIOD_OVERRIDE=FQ","FILING_STATUS=OR","SCALING_FORMAT=MLN","Sort=A","Dates=H","DateFormat=P","Fill=—","Direction=H","UseDPDF=Y")</f>
        <v>0</v>
      </c>
      <c r="AK22" s="13">
        <f>_xll.BDH("AMZN US Equity","DISP_FXD_&amp;_INTANGIBLES_DETAILED","FQ3 2007","FQ3 2007","Currency=USD","Period=FQ","BEST_FPERIOD_OVERRIDE=FQ","FILING_STATUS=OR","SCALING_FORMAT=MLN","Sort=A","Dates=H","DateFormat=P","Fill=—","Direction=H","UseDPDF=Y")</f>
        <v>0</v>
      </c>
      <c r="AL22" s="13">
        <f>_xll.BDH("AMZN US Equity","DISP_FXD_&amp;_INTANGIBLES_DETAILED","FQ4 2007","FQ4 2007","Currency=USD","Period=FQ","BEST_FPERIOD_OVERRIDE=FQ","FILING_STATUS=OR","SCALING_FORMAT=MLN","Sort=A","Dates=H","DateFormat=P","Fill=—","Direction=H","UseDPDF=Y")</f>
        <v>0</v>
      </c>
      <c r="AM22" s="13">
        <f>_xll.BDH("AMZN US Equity","DISP_FXD_&amp;_INTANGIBLES_DETAILED","FQ1 2008","FQ1 2008","Currency=USD","Period=FQ","BEST_FPERIOD_OVERRIDE=FQ","FILING_STATUS=OR","SCALING_FORMAT=MLN","Sort=A","Dates=H","DateFormat=P","Fill=—","Direction=H","UseDPDF=Y")</f>
        <v>0</v>
      </c>
      <c r="AN22" s="13">
        <f>_xll.BDH("AMZN US Equity","DISP_FXD_&amp;_INTANGIBLES_DETAILED","FQ2 2008","FQ2 2008","Currency=USD","Period=FQ","BEST_FPERIOD_OVERRIDE=FQ","FILING_STATUS=OR","SCALING_FORMAT=MLN","Sort=A","Dates=H","DateFormat=P","Fill=—","Direction=H","UseDPDF=Y")</f>
        <v>0</v>
      </c>
      <c r="AO22" s="13">
        <f>_xll.BDH("AMZN US Equity","DISP_FXD_&amp;_INTANGIBLES_DETAILED","FQ3 2008","FQ3 2008","Currency=USD","Period=FQ","BEST_FPERIOD_OVERRIDE=FQ","FILING_STATUS=OR","SCALING_FORMAT=MLN","Sort=A","Dates=H","DateFormat=P","Fill=—","Direction=H","UseDPDF=Y")</f>
        <v>0</v>
      </c>
      <c r="AP22" s="13">
        <f>_xll.BDH("AMZN US Equity","DISP_FXD_&amp;_INTANGIBLES_DETAILED","FQ4 2008","FQ4 2008","Currency=USD","Period=FQ","BEST_FPERIOD_OVERRIDE=FQ","FILING_STATUS=OR","SCALING_FORMAT=MLN","Sort=A","Dates=H","DateFormat=P","Fill=—","Direction=H","UseDPDF=Y")</f>
        <v>0</v>
      </c>
    </row>
    <row r="23" spans="1:42" x14ac:dyDescent="0.25">
      <c r="A23" s="10" t="s">
        <v>329</v>
      </c>
      <c r="B23" s="10" t="s">
        <v>330</v>
      </c>
      <c r="C23" s="13">
        <f>_xll.BDH("AMZN US Equity","ACQUIS_FXD_&amp;_INTANG_DETAILED","FQ1 1999","FQ1 1999","Currency=USD","Period=FQ","BEST_FPERIOD_OVERRIDE=FQ","FILING_STATUS=OR","SCALING_FORMAT=MLN","Sort=A","Dates=H","DateFormat=P","Fill=—","Direction=H","UseDPDF=Y")</f>
        <v>-19.062000000000001</v>
      </c>
      <c r="D23" s="13">
        <f>_xll.BDH("AMZN US Equity","ACQUIS_FXD_&amp;_INTANG_DETAILED","FQ2 1999","FQ2 1999","Currency=USD","Period=FQ","BEST_FPERIOD_OVERRIDE=FQ","FILING_STATUS=OR","SCALING_FORMAT=MLN","Sort=A","Dates=H","DateFormat=P","Fill=—","Direction=H","UseDPDF=Y")</f>
        <v>-92.034999999999997</v>
      </c>
      <c r="E23" s="13">
        <f>_xll.BDH("AMZN US Equity","ACQUIS_FXD_&amp;_INTANG_DETAILED","FQ3 1999","FQ3 1999","Currency=USD","Period=FQ","BEST_FPERIOD_OVERRIDE=FQ","FILING_STATUS=OR","SCALING_FORMAT=MLN","Sort=A","Dates=H","DateFormat=P","Fill=—","Direction=H","UseDPDF=Y")</f>
        <v>-70.762</v>
      </c>
      <c r="F23" s="13">
        <f>_xll.BDH("AMZN US Equity","ACQUIS_FXD_&amp;_INTANG_DETAILED","FQ4 1999","FQ4 1999","Currency=USD","Period=FQ","BEST_FPERIOD_OVERRIDE=FQ","FILING_STATUS=OR","SCALING_FORMAT=MLN","Sort=A","Dates=H","DateFormat=P","Fill=—","Direction=H","UseDPDF=Y")</f>
        <v>-105.196</v>
      </c>
      <c r="G23" s="13">
        <f>_xll.BDH("AMZN US Equity","ACQUIS_FXD_&amp;_INTANG_DETAILED","FQ1 2000","FQ1 2000","Currency=USD","Period=FQ","BEST_FPERIOD_OVERRIDE=FQ","FILING_STATUS=OR","SCALING_FORMAT=MLN","Sort=A","Dates=H","DateFormat=P","Fill=—","Direction=H","UseDPDF=Y")</f>
        <v>-26.600999999999999</v>
      </c>
      <c r="H23" s="13">
        <f>_xll.BDH("AMZN US Equity","ACQUIS_FXD_&amp;_INTANG_DETAILED","FQ2 2000","FQ2 2000","Currency=USD","Period=FQ","BEST_FPERIOD_OVERRIDE=FQ","FILING_STATUS=OR","SCALING_FORMAT=MLN","Sort=A","Dates=H","DateFormat=P","Fill=—","Direction=H","UseDPDF=Y")</f>
        <v>-28.878</v>
      </c>
      <c r="I23" s="13">
        <f>_xll.BDH("AMZN US Equity","ACQUIS_FXD_&amp;_INTANG_DETAILED","FQ3 2000","FQ3 2000","Currency=USD","Period=FQ","BEST_FPERIOD_OVERRIDE=FQ","FILING_STATUS=OR","SCALING_FORMAT=MLN","Sort=A","Dates=H","DateFormat=P","Fill=—","Direction=H","UseDPDF=Y")</f>
        <v>-41.948</v>
      </c>
      <c r="J23" s="13">
        <f>_xll.BDH("AMZN US Equity","ACQUIS_FXD_&amp;_INTANG_DETAILED","FQ4 2000","FQ4 2000","Currency=USD","Period=FQ","BEST_FPERIOD_OVERRIDE=FQ","FILING_STATUS=OR","SCALING_FORMAT=MLN","Sort=A","Dates=H","DateFormat=P","Fill=—","Direction=H","UseDPDF=Y")</f>
        <v>-37.331000000000003</v>
      </c>
      <c r="K23" s="13">
        <f>_xll.BDH("AMZN US Equity","ACQUIS_FXD_&amp;_INTANG_DETAILED","FQ1 2001","FQ1 2001","Currency=USD","Period=FQ","BEST_FPERIOD_OVERRIDE=FQ","FILING_STATUS=OR","SCALING_FORMAT=MLN","Sort=A","Dates=H","DateFormat=P","Fill=—","Direction=H","UseDPDF=Y")</f>
        <v>-19.437000000000001</v>
      </c>
      <c r="L23" s="13">
        <f>_xll.BDH("AMZN US Equity","ACQUIS_FXD_&amp;_INTANG_DETAILED","FQ2 2001","FQ2 2001","Currency=USD","Period=FQ","BEST_FPERIOD_OVERRIDE=FQ","FILING_STATUS=OR","SCALING_FORMAT=MLN","Sort=A","Dates=H","DateFormat=P","Fill=—","Direction=H","UseDPDF=Y")</f>
        <v>-10.425000000000001</v>
      </c>
      <c r="M23" s="13">
        <f>_xll.BDH("AMZN US Equity","ACQUIS_FXD_&amp;_INTANG_DETAILED","FQ3 2001","FQ3 2001","Currency=USD","Period=FQ","BEST_FPERIOD_OVERRIDE=FQ","FILING_STATUS=OR","SCALING_FORMAT=MLN","Sort=A","Dates=H","DateFormat=P","Fill=—","Direction=H","UseDPDF=Y")</f>
        <v>-12.925000000000001</v>
      </c>
      <c r="N23" s="13">
        <f>_xll.BDH("AMZN US Equity","ACQUIS_FXD_&amp;_INTANG_DETAILED","FQ4 2001","FQ4 2001","Currency=USD","Period=FQ","BEST_FPERIOD_OVERRIDE=FQ","FILING_STATUS=OR","SCALING_FORMAT=MLN","Sort=A","Dates=H","DateFormat=P","Fill=—","Direction=H","UseDPDF=Y")</f>
        <v>-7.5339999999999998</v>
      </c>
      <c r="O23" s="13">
        <f>_xll.BDH("AMZN US Equity","ACQUIS_FXD_&amp;_INTANG_DETAILED","FQ1 2002","FQ1 2002","Currency=USD","Period=FQ","BEST_FPERIOD_OVERRIDE=FQ","FILING_STATUS=OR","SCALING_FORMAT=MLN","Sort=A","Dates=H","DateFormat=P","Fill=—","Direction=H","UseDPDF=Y")</f>
        <v>-4.8540000000000001</v>
      </c>
      <c r="P23" s="13">
        <f>_xll.BDH("AMZN US Equity","ACQUIS_FXD_&amp;_INTANG_DETAILED","FQ2 2002","FQ2 2002","Currency=USD","Period=FQ","BEST_FPERIOD_OVERRIDE=FQ","FILING_STATUS=OR","SCALING_FORMAT=MLN","Sort=A","Dates=H","DateFormat=P","Fill=—","Direction=H","UseDPDF=Y")</f>
        <v>-7.44</v>
      </c>
      <c r="Q23" s="13">
        <f>_xll.BDH("AMZN US Equity","ACQUIS_FXD_&amp;_INTANG_DETAILED","FQ3 2002","FQ3 2002","Currency=USD","Period=FQ","BEST_FPERIOD_OVERRIDE=FQ","FILING_STATUS=OR","SCALING_FORMAT=MLN","Sort=A","Dates=H","DateFormat=P","Fill=—","Direction=H","UseDPDF=Y")</f>
        <v>-11.353</v>
      </c>
      <c r="R23" s="13">
        <f>_xll.BDH("AMZN US Equity","ACQUIS_FXD_&amp;_INTANG_DETAILED","FQ4 2002","FQ4 2002","Currency=USD","Period=FQ","BEST_FPERIOD_OVERRIDE=FQ","FILING_STATUS=OR","SCALING_FORMAT=MLN","Sort=A","Dates=H","DateFormat=P","Fill=—","Direction=H","UseDPDF=Y")</f>
        <v>-15.516</v>
      </c>
      <c r="S23" s="13">
        <f>_xll.BDH("AMZN US Equity","ACQUIS_FXD_&amp;_INTANG_DETAILED","FQ1 2003","FQ1 2003","Currency=USD","Period=FQ","BEST_FPERIOD_OVERRIDE=FQ","FILING_STATUS=OR","SCALING_FORMAT=MLN","Sort=A","Dates=H","DateFormat=P","Fill=—","Direction=H","UseDPDF=Y")</f>
        <v>-6.3940000000000001</v>
      </c>
      <c r="T23" s="13">
        <f>_xll.BDH("AMZN US Equity","ACQUIS_FXD_&amp;_INTANG_DETAILED","FQ2 2003","FQ2 2003","Currency=USD","Period=FQ","BEST_FPERIOD_OVERRIDE=FQ","FILING_STATUS=OR","SCALING_FORMAT=MLN","Sort=A","Dates=H","DateFormat=P","Fill=—","Direction=H","UseDPDF=Y")</f>
        <v>-7.141</v>
      </c>
      <c r="U23" s="13">
        <f>_xll.BDH("AMZN US Equity","ACQUIS_FXD_&amp;_INTANG_DETAILED","FQ3 2003","FQ3 2003","Currency=USD","Period=FQ","BEST_FPERIOD_OVERRIDE=FQ","FILING_STATUS=OR","SCALING_FORMAT=MLN","Sort=A","Dates=H","DateFormat=P","Fill=—","Direction=H","UseDPDF=Y")</f>
        <v>-15.192</v>
      </c>
      <c r="V23" s="13">
        <f>_xll.BDH("AMZN US Equity","ACQUIS_FXD_&amp;_INTANG_DETAILED","FQ4 2003","FQ4 2003","Currency=USD","Period=FQ","BEST_FPERIOD_OVERRIDE=FQ","FILING_STATUS=OR","SCALING_FORMAT=MLN","Sort=A","Dates=H","DateFormat=P","Fill=—","Direction=H","UseDPDF=Y")</f>
        <v>-17.236000000000001</v>
      </c>
      <c r="W23" s="13">
        <f>_xll.BDH("AMZN US Equity","ACQUIS_FXD_&amp;_INTANG_DETAILED","FQ1 2004","FQ1 2004","Currency=USD","Period=FQ","BEST_FPERIOD_OVERRIDE=FQ","FILING_STATUS=OR","SCALING_FORMAT=MLN","Sort=A","Dates=H","DateFormat=P","Fill=—","Direction=H","UseDPDF=Y")</f>
        <v>-9.5129999999999999</v>
      </c>
      <c r="X23" s="13">
        <f>_xll.BDH("AMZN US Equity","ACQUIS_FXD_&amp;_INTANG_DETAILED","FQ2 2004","FQ2 2004","Currency=USD","Period=FQ","BEST_FPERIOD_OVERRIDE=FQ","FILING_STATUS=OR","SCALING_FORMAT=MLN","Sort=A","Dates=H","DateFormat=P","Fill=—","Direction=H","UseDPDF=Y")</f>
        <v>-14.143000000000001</v>
      </c>
      <c r="Y23" s="13">
        <f>_xll.BDH("AMZN US Equity","ACQUIS_FXD_&amp;_INTANG_DETAILED","FQ3 2004","FQ3 2004","Currency=USD","Period=FQ","BEST_FPERIOD_OVERRIDE=FQ","FILING_STATUS=OR","SCALING_FORMAT=MLN","Sort=A","Dates=H","DateFormat=P","Fill=—","Direction=H","UseDPDF=Y")</f>
        <v>-28.722000000000001</v>
      </c>
      <c r="Z23" s="13">
        <f>_xll.BDH("AMZN US Equity","ACQUIS_FXD_&amp;_INTANG_DETAILED","FQ4 2004","FQ4 2004","Currency=USD","Period=FQ","BEST_FPERIOD_OVERRIDE=FQ","FILING_STATUS=OR","SCALING_FORMAT=MLN","Sort=A","Dates=H","DateFormat=P","Fill=—","Direction=H","UseDPDF=Y")</f>
        <v>-36.755000000000003</v>
      </c>
      <c r="AA23" s="13">
        <f>_xll.BDH("AMZN US Equity","ACQUIS_FXD_&amp;_INTANG_DETAILED","FQ1 2005","FQ1 2005","Currency=USD","Period=FQ","BEST_FPERIOD_OVERRIDE=FQ","FILING_STATUS=OR","SCALING_FORMAT=MLN","Sort=A","Dates=H","DateFormat=P","Fill=—","Direction=H","UseDPDF=Y")</f>
        <v>-26</v>
      </c>
      <c r="AB23" s="13">
        <f>_xll.BDH("AMZN US Equity","ACQUIS_FXD_&amp;_INTANG_DETAILED","FQ2 2005","FQ2 2005","Currency=USD","Period=FQ","BEST_FPERIOD_OVERRIDE=FQ","FILING_STATUS=OR","SCALING_FORMAT=MLN","Sort=A","Dates=H","DateFormat=P","Fill=—","Direction=H","UseDPDF=Y")</f>
        <v>-46</v>
      </c>
      <c r="AC23" s="13">
        <f>_xll.BDH("AMZN US Equity","ACQUIS_FXD_&amp;_INTANG_DETAILED","FQ3 2005","FQ3 2005","Currency=USD","Period=FQ","BEST_FPERIOD_OVERRIDE=FQ","FILING_STATUS=OR","SCALING_FORMAT=MLN","Sort=A","Dates=H","DateFormat=P","Fill=—","Direction=H","UseDPDF=Y")</f>
        <v>-76</v>
      </c>
      <c r="AD23" s="13">
        <f>_xll.BDH("AMZN US Equity","ACQUIS_FXD_&amp;_INTANG_DETAILED","FQ4 2005","FQ4 2005","Currency=USD","Period=FQ","BEST_FPERIOD_OVERRIDE=FQ","FILING_STATUS=OR","SCALING_FORMAT=MLN","Sort=A","Dates=H","DateFormat=P","Fill=—","Direction=H","UseDPDF=Y")</f>
        <v>-56</v>
      </c>
      <c r="AE23" s="13">
        <f>_xll.BDH("AMZN US Equity","ACQUIS_FXD_&amp;_INTANG_DETAILED","FQ1 2006","FQ1 2006","Currency=USD","Period=FQ","BEST_FPERIOD_OVERRIDE=FQ","FILING_STATUS=OR","SCALING_FORMAT=MLN","Sort=A","Dates=H","DateFormat=P","Fill=—","Direction=H","UseDPDF=Y")</f>
        <v>-46</v>
      </c>
      <c r="AF23" s="13">
        <f>_xll.BDH("AMZN US Equity","ACQUIS_FXD_&amp;_INTANG_DETAILED","FQ2 2006","FQ2 2006","Currency=USD","Period=FQ","BEST_FPERIOD_OVERRIDE=FQ","FILING_STATUS=OR","SCALING_FORMAT=MLN","Sort=A","Dates=H","DateFormat=P","Fill=—","Direction=H","UseDPDF=Y")</f>
        <v>-58</v>
      </c>
      <c r="AG23" s="13">
        <f>_xll.BDH("AMZN US Equity","ACQUIS_FXD_&amp;_INTANG_DETAILED","FQ3 2006","FQ3 2006","Currency=USD","Period=FQ","BEST_FPERIOD_OVERRIDE=FQ","FILING_STATUS=OR","SCALING_FORMAT=MLN","Sort=A","Dates=H","DateFormat=P","Fill=—","Direction=H","UseDPDF=Y")</f>
        <v>-62</v>
      </c>
      <c r="AH23" s="13">
        <f>_xll.BDH("AMZN US Equity","ACQUIS_FXD_&amp;_INTANG_DETAILED","FQ4 2006","FQ4 2006","Currency=USD","Period=FQ","BEST_FPERIOD_OVERRIDE=FQ","FILING_STATUS=OR","SCALING_FORMAT=MLN","Sort=A","Dates=H","DateFormat=P","Fill=—","Direction=H","UseDPDF=Y")</f>
        <v>-50</v>
      </c>
      <c r="AI23" s="13">
        <f>_xll.BDH("AMZN US Equity","ACQUIS_FXD_&amp;_INTANG_DETAILED","FQ1 2007","FQ1 2007","Currency=USD","Period=FQ","BEST_FPERIOD_OVERRIDE=FQ","FILING_STATUS=OR","SCALING_FORMAT=MLN","Sort=A","Dates=H","DateFormat=P","Fill=—","Direction=H","UseDPDF=Y")</f>
        <v>-34</v>
      </c>
      <c r="AJ23" s="13">
        <f>_xll.BDH("AMZN US Equity","ACQUIS_FXD_&amp;_INTANG_DETAILED","FQ2 2007","FQ2 2007","Currency=USD","Period=FQ","BEST_FPERIOD_OVERRIDE=FQ","FILING_STATUS=OR","SCALING_FORMAT=MLN","Sort=A","Dates=H","DateFormat=P","Fill=—","Direction=H","UseDPDF=Y")</f>
        <v>-47</v>
      </c>
      <c r="AK23" s="13">
        <f>_xll.BDH("AMZN US Equity","ACQUIS_FXD_&amp;_INTANG_DETAILED","FQ3 2007","FQ3 2007","Currency=USD","Period=FQ","BEST_FPERIOD_OVERRIDE=FQ","FILING_STATUS=OR","SCALING_FORMAT=MLN","Sort=A","Dates=H","DateFormat=P","Fill=—","Direction=H","UseDPDF=Y")</f>
        <v>-69</v>
      </c>
      <c r="AL23" s="13">
        <f>_xll.BDH("AMZN US Equity","ACQUIS_FXD_&amp;_INTANG_DETAILED","FQ4 2007","FQ4 2007","Currency=USD","Period=FQ","BEST_FPERIOD_OVERRIDE=FQ","FILING_STATUS=OR","SCALING_FORMAT=MLN","Sort=A","Dates=H","DateFormat=P","Fill=—","Direction=H","UseDPDF=Y")</f>
        <v>-73</v>
      </c>
      <c r="AM23" s="13">
        <f>_xll.BDH("AMZN US Equity","ACQUIS_FXD_&amp;_INTANG_DETAILED","FQ1 2008","FQ1 2008","Currency=USD","Period=FQ","BEST_FPERIOD_OVERRIDE=FQ","FILING_STATUS=OR","SCALING_FORMAT=MLN","Sort=A","Dates=H","DateFormat=P","Fill=—","Direction=H","UseDPDF=Y")</f>
        <v>-61</v>
      </c>
      <c r="AN23" s="13">
        <f>_xll.BDH("AMZN US Equity","ACQUIS_FXD_&amp;_INTANG_DETAILED","FQ2 2008","FQ2 2008","Currency=USD","Period=FQ","BEST_FPERIOD_OVERRIDE=FQ","FILING_STATUS=OR","SCALING_FORMAT=MLN","Sort=A","Dates=H","DateFormat=P","Fill=—","Direction=H","UseDPDF=Y")</f>
        <v>-69</v>
      </c>
      <c r="AO23" s="13">
        <f>_xll.BDH("AMZN US Equity","ACQUIS_FXD_&amp;_INTANG_DETAILED","FQ3 2008","FQ3 2008","Currency=USD","Period=FQ","BEST_FPERIOD_OVERRIDE=FQ","FILING_STATUS=OR","SCALING_FORMAT=MLN","Sort=A","Dates=H","DateFormat=P","Fill=—","Direction=H","UseDPDF=Y")</f>
        <v>-102</v>
      </c>
      <c r="AP23" s="13">
        <f>_xll.BDH("AMZN US Equity","ACQUIS_FXD_&amp;_INTANG_DETAILED","FQ4 2008","FQ4 2008","Currency=USD","Period=FQ","BEST_FPERIOD_OVERRIDE=FQ","FILING_STATUS=OR","SCALING_FORMAT=MLN","Sort=A","Dates=H","DateFormat=P","Fill=—","Direction=H","UseDPDF=Y")</f>
        <v>-101</v>
      </c>
    </row>
    <row r="24" spans="1:42" x14ac:dyDescent="0.25">
      <c r="A24" s="10" t="s">
        <v>331</v>
      </c>
      <c r="B24" s="10" t="s">
        <v>332</v>
      </c>
      <c r="C24" s="13">
        <f>_xll.BDH("AMZN US Equity","NET_CHG_IN_LT_INVEST_DETAILED","FQ1 1999","FQ1 1999","Currency=USD","Period=FQ","BEST_FPERIOD_OVERRIDE=FQ","FILING_STATUS=OR","SCALING_FORMAT=MLN","Sort=A","Dates=H","DateFormat=P","Fill=—","Direction=H","UseDPDF=Y")</f>
        <v>0</v>
      </c>
      <c r="D24" s="13">
        <f>_xll.BDH("AMZN US Equity","NET_CHG_IN_LT_INVEST_DETAILED","FQ2 1999","FQ2 1999","Currency=USD","Period=FQ","BEST_FPERIOD_OVERRIDE=FQ","FILING_STATUS=OR","SCALING_FORMAT=MLN","Sort=A","Dates=H","DateFormat=P","Fill=—","Direction=H","UseDPDF=Y")</f>
        <v>0</v>
      </c>
      <c r="E24" s="13">
        <f>_xll.BDH("AMZN US Equity","NET_CHG_IN_LT_INVEST_DETAILED","FQ3 1999","FQ3 1999","Currency=USD","Period=FQ","BEST_FPERIOD_OVERRIDE=FQ","FILING_STATUS=OR","SCALING_FORMAT=MLN","Sort=A","Dates=H","DateFormat=P","Fill=—","Direction=H","UseDPDF=Y")</f>
        <v>0</v>
      </c>
      <c r="F24" s="13">
        <f>_xll.BDH("AMZN US Equity","NET_CHG_IN_LT_INVEST_DETAILED","FQ4 1999","FQ4 1999","Currency=USD","Period=FQ","BEST_FPERIOD_OVERRIDE=FQ","FILING_STATUS=OR","SCALING_FORMAT=MLN","Sort=A","Dates=H","DateFormat=P","Fill=—","Direction=H","UseDPDF=Y")</f>
        <v>0</v>
      </c>
      <c r="G24" s="13">
        <f>_xll.BDH("AMZN US Equity","NET_CHG_IN_LT_INVEST_DETAILED","FQ1 2000","FQ1 2000","Currency=USD","Period=FQ","BEST_FPERIOD_OVERRIDE=FQ","FILING_STATUS=OR","SCALING_FORMAT=MLN","Sort=A","Dates=H","DateFormat=P","Fill=—","Direction=H","UseDPDF=Y")</f>
        <v>351.48899999999998</v>
      </c>
      <c r="H24" s="13">
        <f>_xll.BDH("AMZN US Equity","NET_CHG_IN_LT_INVEST_DETAILED","FQ2 2000","FQ2 2000","Currency=USD","Period=FQ","BEST_FPERIOD_OVERRIDE=FQ","FILING_STATUS=OR","SCALING_FORMAT=MLN","Sort=A","Dates=H","DateFormat=P","Fill=—","Direction=H","UseDPDF=Y")</f>
        <v>47.018999999999998</v>
      </c>
      <c r="I24" s="13">
        <f>_xll.BDH("AMZN US Equity","NET_CHG_IN_LT_INVEST_DETAILED","FQ3 2000","FQ3 2000","Currency=USD","Period=FQ","BEST_FPERIOD_OVERRIDE=FQ","FILING_STATUS=OR","SCALING_FORMAT=MLN","Sort=A","Dates=H","DateFormat=P","Fill=—","Direction=H","UseDPDF=Y")</f>
        <v>27.664999999999999</v>
      </c>
      <c r="J24" s="13">
        <f>_xll.BDH("AMZN US Equity","NET_CHG_IN_LT_INVEST_DETAILED","FQ4 2000","FQ4 2000","Currency=USD","Period=FQ","BEST_FPERIOD_OVERRIDE=FQ","FILING_STATUS=OR","SCALING_FORMAT=MLN","Sort=A","Dates=H","DateFormat=P","Fill=—","Direction=H","UseDPDF=Y")</f>
        <v>-64.903999999999996</v>
      </c>
      <c r="K24" s="13">
        <f>_xll.BDH("AMZN US Equity","NET_CHG_IN_LT_INVEST_DETAILED","FQ1 2001","FQ1 2001","Currency=USD","Period=FQ","BEST_FPERIOD_OVERRIDE=FQ","FILING_STATUS=OR","SCALING_FORMAT=MLN","Sort=A","Dates=H","DateFormat=P","Fill=—","Direction=H","UseDPDF=Y")</f>
        <v>63.988</v>
      </c>
      <c r="L24" s="13">
        <f>_xll.BDH("AMZN US Equity","NET_CHG_IN_LT_INVEST_DETAILED","FQ2 2001","FQ2 2001","Currency=USD","Period=FQ","BEST_FPERIOD_OVERRIDE=FQ","FILING_STATUS=OR","SCALING_FORMAT=MLN","Sort=A","Dates=H","DateFormat=P","Fill=—","Direction=H","UseDPDF=Y")</f>
        <v>40.228000000000002</v>
      </c>
      <c r="M24" s="13">
        <f>_xll.BDH("AMZN US Equity","NET_CHG_IN_LT_INVEST_DETAILED","FQ3 2001","FQ3 2001","Currency=USD","Period=FQ","BEST_FPERIOD_OVERRIDE=FQ","FILING_STATUS=OR","SCALING_FORMAT=MLN","Sort=A","Dates=H","DateFormat=P","Fill=—","Direction=H","UseDPDF=Y")</f>
        <v>-82.093000000000004</v>
      </c>
      <c r="N24" s="13">
        <f>_xll.BDH("AMZN US Equity","NET_CHG_IN_LT_INVEST_DETAILED","FQ4 2001","FQ4 2001","Currency=USD","Period=FQ","BEST_FPERIOD_OVERRIDE=FQ","FILING_STATUS=OR","SCALING_FORMAT=MLN","Sort=A","Dates=H","DateFormat=P","Fill=—","Direction=H","UseDPDF=Y")</f>
        <v>-218.898</v>
      </c>
      <c r="O24" s="13">
        <f>_xll.BDH("AMZN US Equity","NET_CHG_IN_LT_INVEST_DETAILED","FQ1 2002","FQ1 2002","Currency=USD","Period=FQ","BEST_FPERIOD_OVERRIDE=FQ","FILING_STATUS=OR","SCALING_FORMAT=MLN","Sort=A","Dates=H","DateFormat=P","Fill=—","Direction=H","UseDPDF=Y")</f>
        <v>2.3479999999999999</v>
      </c>
      <c r="P24" s="13">
        <f>_xll.BDH("AMZN US Equity","NET_CHG_IN_LT_INVEST_DETAILED","FQ2 2002","FQ2 2002","Currency=USD","Period=FQ","BEST_FPERIOD_OVERRIDE=FQ","FILING_STATUS=OR","SCALING_FORMAT=MLN","Sort=A","Dates=H","DateFormat=P","Fill=—","Direction=H","UseDPDF=Y")</f>
        <v>-86.540999999999997</v>
      </c>
      <c r="Q24" s="13">
        <f>_xll.BDH("AMZN US Equity","NET_CHG_IN_LT_INVEST_DETAILED","FQ3 2002","FQ3 2002","Currency=USD","Period=FQ","BEST_FPERIOD_OVERRIDE=FQ","FILING_STATUS=OR","SCALING_FORMAT=MLN","Sort=A","Dates=H","DateFormat=P","Fill=—","Direction=H","UseDPDF=Y")</f>
        <v>22.434999999999999</v>
      </c>
      <c r="R24" s="13">
        <f>_xll.BDH("AMZN US Equity","NET_CHG_IN_LT_INVEST_DETAILED","FQ4 2002","FQ4 2002","Currency=USD","Period=FQ","BEST_FPERIOD_OVERRIDE=FQ","FILING_STATUS=OR","SCALING_FORMAT=MLN","Sort=A","Dates=H","DateFormat=P","Fill=—","Direction=H","UseDPDF=Y")</f>
        <v>-20.763000000000002</v>
      </c>
      <c r="S24" s="13">
        <f>_xll.BDH("AMZN US Equity","NET_CHG_IN_LT_INVEST_DETAILED","FQ1 2003","FQ1 2003","Currency=USD","Period=FQ","BEST_FPERIOD_OVERRIDE=FQ","FILING_STATUS=OR","SCALING_FORMAT=MLN","Sort=A","Dates=H","DateFormat=P","Fill=—","Direction=H","UseDPDF=Y")</f>
        <v>0</v>
      </c>
      <c r="T24" s="13">
        <f>_xll.BDH("AMZN US Equity","NET_CHG_IN_LT_INVEST_DETAILED","FQ2 2003","FQ2 2003","Currency=USD","Period=FQ","BEST_FPERIOD_OVERRIDE=FQ","FILING_STATUS=OR","SCALING_FORMAT=MLN","Sort=A","Dates=H","DateFormat=P","Fill=—","Direction=H","UseDPDF=Y")</f>
        <v>0</v>
      </c>
      <c r="U24" s="13">
        <f>_xll.BDH("AMZN US Equity","NET_CHG_IN_LT_INVEST_DETAILED","FQ3 2003","FQ3 2003","Currency=USD","Period=FQ","BEST_FPERIOD_OVERRIDE=FQ","FILING_STATUS=OR","SCALING_FORMAT=MLN","Sort=A","Dates=H","DateFormat=P","Fill=—","Direction=H","UseDPDF=Y")</f>
        <v>0</v>
      </c>
      <c r="V24" s="13">
        <f>_xll.BDH("AMZN US Equity","NET_CHG_IN_LT_INVEST_DETAILED","FQ4 2003","FQ4 2003","Currency=USD","Period=FQ","BEST_FPERIOD_OVERRIDE=FQ","FILING_STATUS=OR","SCALING_FORMAT=MLN","Sort=A","Dates=H","DateFormat=P","Fill=—","Direction=H","UseDPDF=Y")</f>
        <v>0</v>
      </c>
      <c r="W24" s="13">
        <f>_xll.BDH("AMZN US Equity","NET_CHG_IN_LT_INVEST_DETAILED","FQ1 2004","FQ1 2004","Currency=USD","Period=FQ","BEST_FPERIOD_OVERRIDE=FQ","FILING_STATUS=OR","SCALING_FORMAT=MLN","Sort=A","Dates=H","DateFormat=P","Fill=—","Direction=H","UseDPDF=Y")</f>
        <v>0</v>
      </c>
      <c r="X24" s="13">
        <f>_xll.BDH("AMZN US Equity","NET_CHG_IN_LT_INVEST_DETAILED","FQ2 2004","FQ2 2004","Currency=USD","Period=FQ","BEST_FPERIOD_OVERRIDE=FQ","FILING_STATUS=OR","SCALING_FORMAT=MLN","Sort=A","Dates=H","DateFormat=P","Fill=—","Direction=H","UseDPDF=Y")</f>
        <v>0</v>
      </c>
      <c r="Y24" s="13">
        <f>_xll.BDH("AMZN US Equity","NET_CHG_IN_LT_INVEST_DETAILED","FQ3 2004","FQ3 2004","Currency=USD","Period=FQ","BEST_FPERIOD_OVERRIDE=FQ","FILING_STATUS=OR","SCALING_FORMAT=MLN","Sort=A","Dates=H","DateFormat=P","Fill=—","Direction=H","UseDPDF=Y")</f>
        <v>0</v>
      </c>
      <c r="Z24" s="13">
        <f>_xll.BDH("AMZN US Equity","NET_CHG_IN_LT_INVEST_DETAILED","FQ4 2004","FQ4 2004","Currency=USD","Period=FQ","BEST_FPERIOD_OVERRIDE=FQ","FILING_STATUS=OR","SCALING_FORMAT=MLN","Sort=A","Dates=H","DateFormat=P","Fill=—","Direction=H","UseDPDF=Y")</f>
        <v>0</v>
      </c>
      <c r="AA24" s="13">
        <f>_xll.BDH("AMZN US Equity","NET_CHG_IN_LT_INVEST_DETAILED","FQ1 2005","FQ1 2005","Currency=USD","Period=FQ","BEST_FPERIOD_OVERRIDE=FQ","FILING_STATUS=OR","SCALING_FORMAT=MLN","Sort=A","Dates=H","DateFormat=P","Fill=—","Direction=H","UseDPDF=Y")</f>
        <v>0</v>
      </c>
      <c r="AB24" s="13">
        <f>_xll.BDH("AMZN US Equity","NET_CHG_IN_LT_INVEST_DETAILED","FQ2 2005","FQ2 2005","Currency=USD","Period=FQ","BEST_FPERIOD_OVERRIDE=FQ","FILING_STATUS=OR","SCALING_FORMAT=MLN","Sort=A","Dates=H","DateFormat=P","Fill=—","Direction=H","UseDPDF=Y")</f>
        <v>0</v>
      </c>
      <c r="AC24" s="13">
        <f>_xll.BDH("AMZN US Equity","NET_CHG_IN_LT_INVEST_DETAILED","FQ3 2005","FQ3 2005","Currency=USD","Period=FQ","BEST_FPERIOD_OVERRIDE=FQ","FILING_STATUS=OR","SCALING_FORMAT=MLN","Sort=A","Dates=H","DateFormat=P","Fill=—","Direction=H","UseDPDF=Y")</f>
        <v>0</v>
      </c>
      <c r="AD24" s="13">
        <f>_xll.BDH("AMZN US Equity","NET_CHG_IN_LT_INVEST_DETAILED","FQ4 2005","FQ4 2005","Currency=USD","Period=FQ","BEST_FPERIOD_OVERRIDE=FQ","FILING_STATUS=OR","SCALING_FORMAT=MLN","Sort=A","Dates=H","DateFormat=P","Fill=—","Direction=H","UseDPDF=Y")</f>
        <v>126</v>
      </c>
      <c r="AE24" s="13">
        <f>_xll.BDH("AMZN US Equity","NET_CHG_IN_LT_INVEST_DETAILED","FQ1 2006","FQ1 2006","Currency=USD","Period=FQ","BEST_FPERIOD_OVERRIDE=FQ","FILING_STATUS=OR","SCALING_FORMAT=MLN","Sort=A","Dates=H","DateFormat=P","Fill=—","Direction=H","UseDPDF=Y")</f>
        <v>0</v>
      </c>
      <c r="AF24" s="13">
        <f>_xll.BDH("AMZN US Equity","NET_CHG_IN_LT_INVEST_DETAILED","FQ2 2006","FQ2 2006","Currency=USD","Period=FQ","BEST_FPERIOD_OVERRIDE=FQ","FILING_STATUS=OR","SCALING_FORMAT=MLN","Sort=A","Dates=H","DateFormat=P","Fill=—","Direction=H","UseDPDF=Y")</f>
        <v>0</v>
      </c>
      <c r="AG24" s="13">
        <f>_xll.BDH("AMZN US Equity","NET_CHG_IN_LT_INVEST_DETAILED","FQ3 2006","FQ3 2006","Currency=USD","Period=FQ","BEST_FPERIOD_OVERRIDE=FQ","FILING_STATUS=OR","SCALING_FORMAT=MLN","Sort=A","Dates=H","DateFormat=P","Fill=—","Direction=H","UseDPDF=Y")</f>
        <v>0</v>
      </c>
      <c r="AH24" s="13">
        <f>_xll.BDH("AMZN US Equity","NET_CHG_IN_LT_INVEST_DETAILED","FQ4 2006","FQ4 2006","Currency=USD","Period=FQ","BEST_FPERIOD_OVERRIDE=FQ","FILING_STATUS=OR","SCALING_FORMAT=MLN","Sort=A","Dates=H","DateFormat=P","Fill=—","Direction=H","UseDPDF=Y")</f>
        <v>0</v>
      </c>
      <c r="AI24" s="13">
        <f>_xll.BDH("AMZN US Equity","NET_CHG_IN_LT_INVEST_DETAILED","FQ1 2007","FQ1 2007","Currency=USD","Period=FQ","BEST_FPERIOD_OVERRIDE=FQ","FILING_STATUS=OR","SCALING_FORMAT=MLN","Sort=A","Dates=H","DateFormat=P","Fill=—","Direction=H","UseDPDF=Y")</f>
        <v>0</v>
      </c>
      <c r="AJ24" s="13">
        <f>_xll.BDH("AMZN US Equity","NET_CHG_IN_LT_INVEST_DETAILED","FQ2 2007","FQ2 2007","Currency=USD","Period=FQ","BEST_FPERIOD_OVERRIDE=FQ","FILING_STATUS=OR","SCALING_FORMAT=MLN","Sort=A","Dates=H","DateFormat=P","Fill=—","Direction=H","UseDPDF=Y")</f>
        <v>0</v>
      </c>
      <c r="AK24" s="13">
        <f>_xll.BDH("AMZN US Equity","NET_CHG_IN_LT_INVEST_DETAILED","FQ3 2007","FQ3 2007","Currency=USD","Period=FQ","BEST_FPERIOD_OVERRIDE=FQ","FILING_STATUS=OR","SCALING_FORMAT=MLN","Sort=A","Dates=H","DateFormat=P","Fill=—","Direction=H","UseDPDF=Y")</f>
        <v>0</v>
      </c>
      <c r="AL24" s="13" t="str">
        <f>_xll.BDH("AMZN US Equity","NET_CHG_IN_LT_INVEST_DETAILED","FQ4 2007","FQ4 2007","Currency=USD","Period=FQ","BEST_FPERIOD_OVERRIDE=FQ","FILING_STATUS=OR","SCALING_FORMAT=MLN","Sort=A","Dates=H","DateFormat=P","Fill=—","Direction=H","UseDPDF=Y")</f>
        <v>—</v>
      </c>
      <c r="AM24" s="13">
        <f>_xll.BDH("AMZN US Equity","NET_CHG_IN_LT_INVEST_DETAILED","FQ1 2008","FQ1 2008","Currency=USD","Period=FQ","BEST_FPERIOD_OVERRIDE=FQ","FILING_STATUS=OR","SCALING_FORMAT=MLN","Sort=A","Dates=H","DateFormat=P","Fill=—","Direction=H","UseDPDF=Y")</f>
        <v>0</v>
      </c>
      <c r="AN24" s="13">
        <f>_xll.BDH("AMZN US Equity","NET_CHG_IN_LT_INVEST_DETAILED","FQ2 2008","FQ2 2008","Currency=USD","Period=FQ","BEST_FPERIOD_OVERRIDE=FQ","FILING_STATUS=OR","SCALING_FORMAT=MLN","Sort=A","Dates=H","DateFormat=P","Fill=—","Direction=H","UseDPDF=Y")</f>
        <v>0</v>
      </c>
      <c r="AO24" s="13">
        <f>_xll.BDH("AMZN US Equity","NET_CHG_IN_LT_INVEST_DETAILED","FQ3 2008","FQ3 2008","Currency=USD","Period=FQ","BEST_FPERIOD_OVERRIDE=FQ","FILING_STATUS=OR","SCALING_FORMAT=MLN","Sort=A","Dates=H","DateFormat=P","Fill=—","Direction=H","UseDPDF=Y")</f>
        <v>0</v>
      </c>
      <c r="AP24" s="13" t="str">
        <f>_xll.BDH("AMZN US Equity","NET_CHG_IN_LT_INVEST_DETAILED","FQ4 2008","FQ4 2008","Currency=USD","Period=FQ","BEST_FPERIOD_OVERRIDE=FQ","FILING_STATUS=OR","SCALING_FORMAT=MLN","Sort=A","Dates=H","DateFormat=P","Fill=—","Direction=H","UseDPDF=Y")</f>
        <v>—</v>
      </c>
    </row>
    <row r="25" spans="1:42" x14ac:dyDescent="0.25">
      <c r="A25" s="10" t="s">
        <v>333</v>
      </c>
      <c r="B25" s="10" t="s">
        <v>334</v>
      </c>
      <c r="C25" s="13">
        <f>_xll.BDH("AMZN US Equity","CF_DECR_INVEST","FQ1 1999","FQ1 1999","Currency=USD","Period=FQ","BEST_FPERIOD_OVERRIDE=FQ","FILING_STATUS=OR","SCALING_FORMAT=MLN","Sort=A","Dates=H","DateFormat=P","Fill=—","Direction=H","UseDPDF=Y")</f>
        <v>0</v>
      </c>
      <c r="D25" s="13">
        <f>_xll.BDH("AMZN US Equity","CF_DECR_INVEST","FQ2 1999","FQ2 1999","Currency=USD","Period=FQ","BEST_FPERIOD_OVERRIDE=FQ","FILING_STATUS=OR","SCALING_FORMAT=MLN","Sort=A","Dates=H","DateFormat=P","Fill=—","Direction=H","UseDPDF=Y")</f>
        <v>0</v>
      </c>
      <c r="E25" s="13">
        <f>_xll.BDH("AMZN US Equity","CF_DECR_INVEST","FQ3 1999","FQ3 1999","Currency=USD","Period=FQ","BEST_FPERIOD_OVERRIDE=FQ","FILING_STATUS=OR","SCALING_FORMAT=MLN","Sort=A","Dates=H","DateFormat=P","Fill=—","Direction=H","UseDPDF=Y")</f>
        <v>0</v>
      </c>
      <c r="F25" s="13">
        <f>_xll.BDH("AMZN US Equity","CF_DECR_INVEST","FQ4 1999","FQ4 1999","Currency=USD","Period=FQ","BEST_FPERIOD_OVERRIDE=FQ","FILING_STATUS=OR","SCALING_FORMAT=MLN","Sort=A","Dates=H","DateFormat=P","Fill=—","Direction=H","UseDPDF=Y")</f>
        <v>0</v>
      </c>
      <c r="G25" s="13">
        <f>_xll.BDH("AMZN US Equity","CF_DECR_INVEST","FQ1 2000","FQ1 2000","Currency=USD","Period=FQ","BEST_FPERIOD_OVERRIDE=FQ","FILING_STATUS=OR","SCALING_FORMAT=MLN","Sort=A","Dates=H","DateFormat=P","Fill=—","Direction=H","UseDPDF=Y")</f>
        <v>380.34500000000003</v>
      </c>
      <c r="H25" s="13">
        <f>_xll.BDH("AMZN US Equity","CF_DECR_INVEST","FQ2 2000","FQ2 2000","Currency=USD","Period=FQ","BEST_FPERIOD_OVERRIDE=FQ","FILING_STATUS=OR","SCALING_FORMAT=MLN","Sort=A","Dates=H","DateFormat=P","Fill=—","Direction=H","UseDPDF=Y")</f>
        <v>68.948999999999998</v>
      </c>
      <c r="I25" s="13">
        <f>_xll.BDH("AMZN US Equity","CF_DECR_INVEST","FQ3 2000","FQ3 2000","Currency=USD","Period=FQ","BEST_FPERIOD_OVERRIDE=FQ","FILING_STATUS=OR","SCALING_FORMAT=MLN","Sort=A","Dates=H","DateFormat=P","Fill=—","Direction=H","UseDPDF=Y")</f>
        <v>72.619</v>
      </c>
      <c r="J25" s="13">
        <f>_xll.BDH("AMZN US Equity","CF_DECR_INVEST","FQ4 2000","FQ4 2000","Currency=USD","Period=FQ","BEST_FPERIOD_OVERRIDE=FQ","FILING_STATUS=OR","SCALING_FORMAT=MLN","Sort=A","Dates=H","DateFormat=P","Fill=—","Direction=H","UseDPDF=Y")</f>
        <v>23.811</v>
      </c>
      <c r="K25" s="13">
        <f>_xll.BDH("AMZN US Equity","CF_DECR_INVEST","FQ1 2001","FQ1 2001","Currency=USD","Period=FQ","BEST_FPERIOD_OVERRIDE=FQ","FILING_STATUS=OR","SCALING_FORMAT=MLN","Sort=A","Dates=H","DateFormat=P","Fill=—","Direction=H","UseDPDF=Y")</f>
        <v>94.366</v>
      </c>
      <c r="L25" s="13">
        <f>_xll.BDH("AMZN US Equity","CF_DECR_INVEST","FQ2 2001","FQ2 2001","Currency=USD","Period=FQ","BEST_FPERIOD_OVERRIDE=FQ","FILING_STATUS=OR","SCALING_FORMAT=MLN","Sort=A","Dates=H","DateFormat=P","Fill=—","Direction=H","UseDPDF=Y")</f>
        <v>66.971000000000004</v>
      </c>
      <c r="M25" s="13">
        <f>_xll.BDH("AMZN US Equity","CF_DECR_INVEST","FQ3 2001","FQ3 2001","Currency=USD","Period=FQ","BEST_FPERIOD_OVERRIDE=FQ","FILING_STATUS=OR","SCALING_FORMAT=MLN","Sort=A","Dates=H","DateFormat=P","Fill=—","Direction=H","UseDPDF=Y")</f>
        <v>141.72399999999999</v>
      </c>
      <c r="N25" s="13">
        <f>_xll.BDH("AMZN US Equity","CF_DECR_INVEST","FQ4 2001","FQ4 2001","Currency=USD","Period=FQ","BEST_FPERIOD_OVERRIDE=FQ","FILING_STATUS=OR","SCALING_FORMAT=MLN","Sort=A","Dates=H","DateFormat=P","Fill=—","Direction=H","UseDPDF=Y")</f>
        <v>67.316000000000003</v>
      </c>
      <c r="O25" s="13">
        <f>_xll.BDH("AMZN US Equity","CF_DECR_INVEST","FQ1 2002","FQ1 2002","Currency=USD","Period=FQ","BEST_FPERIOD_OVERRIDE=FQ","FILING_STATUS=OR","SCALING_FORMAT=MLN","Sort=A","Dates=H","DateFormat=P","Fill=—","Direction=H","UseDPDF=Y")</f>
        <v>136.57499999999999</v>
      </c>
      <c r="P25" s="13">
        <f>_xll.BDH("AMZN US Equity","CF_DECR_INVEST","FQ2 2002","FQ2 2002","Currency=USD","Period=FQ","BEST_FPERIOD_OVERRIDE=FQ","FILING_STATUS=OR","SCALING_FORMAT=MLN","Sort=A","Dates=H","DateFormat=P","Fill=—","Direction=H","UseDPDF=Y")</f>
        <v>213.33600000000001</v>
      </c>
      <c r="Q25" s="13">
        <f>_xll.BDH("AMZN US Equity","CF_DECR_INVEST","FQ3 2002","FQ3 2002","Currency=USD","Period=FQ","BEST_FPERIOD_OVERRIDE=FQ","FILING_STATUS=OR","SCALING_FORMAT=MLN","Sort=A","Dates=H","DateFormat=P","Fill=—","Direction=H","UseDPDF=Y")</f>
        <v>50.621000000000002</v>
      </c>
      <c r="R25" s="13">
        <f>_xll.BDH("AMZN US Equity","CF_DECR_INVEST","FQ4 2002","FQ4 2002","Currency=USD","Period=FQ","BEST_FPERIOD_OVERRIDE=FQ","FILING_STATUS=OR","SCALING_FORMAT=MLN","Sort=A","Dates=H","DateFormat=P","Fill=—","Direction=H","UseDPDF=Y")</f>
        <v>152.75700000000001</v>
      </c>
      <c r="S25" s="13">
        <f>_xll.BDH("AMZN US Equity","CF_DECR_INVEST","FQ1 2003","FQ1 2003","Currency=USD","Period=FQ","BEST_FPERIOD_OVERRIDE=FQ","FILING_STATUS=OR","SCALING_FORMAT=MLN","Sort=A","Dates=H","DateFormat=P","Fill=—","Direction=H","UseDPDF=Y")</f>
        <v>0</v>
      </c>
      <c r="T25" s="13">
        <f>_xll.BDH("AMZN US Equity","CF_DECR_INVEST","FQ2 2003","FQ2 2003","Currency=USD","Period=FQ","BEST_FPERIOD_OVERRIDE=FQ","FILING_STATUS=OR","SCALING_FORMAT=MLN","Sort=A","Dates=H","DateFormat=P","Fill=—","Direction=H","UseDPDF=Y")</f>
        <v>0</v>
      </c>
      <c r="U25" s="13">
        <f>_xll.BDH("AMZN US Equity","CF_DECR_INVEST","FQ3 2003","FQ3 2003","Currency=USD","Period=FQ","BEST_FPERIOD_OVERRIDE=FQ","FILING_STATUS=OR","SCALING_FORMAT=MLN","Sort=A","Dates=H","DateFormat=P","Fill=—","Direction=H","UseDPDF=Y")</f>
        <v>0</v>
      </c>
      <c r="V25" s="13">
        <f>_xll.BDH("AMZN US Equity","CF_DECR_INVEST","FQ4 2003","FQ4 2003","Currency=USD","Period=FQ","BEST_FPERIOD_OVERRIDE=FQ","FILING_STATUS=OR","SCALING_FORMAT=MLN","Sort=A","Dates=H","DateFormat=P","Fill=—","Direction=H","UseDPDF=Y")</f>
        <v>0</v>
      </c>
      <c r="W25" s="13">
        <f>_xll.BDH("AMZN US Equity","CF_DECR_INVEST","FQ1 2004","FQ1 2004","Currency=USD","Period=FQ","BEST_FPERIOD_OVERRIDE=FQ","FILING_STATUS=OR","SCALING_FORMAT=MLN","Sort=A","Dates=H","DateFormat=P","Fill=—","Direction=H","UseDPDF=Y")</f>
        <v>0</v>
      </c>
      <c r="X25" s="13">
        <f>_xll.BDH("AMZN US Equity","CF_DECR_INVEST","FQ2 2004","FQ2 2004","Currency=USD","Period=FQ","BEST_FPERIOD_OVERRIDE=FQ","FILING_STATUS=OR","SCALING_FORMAT=MLN","Sort=A","Dates=H","DateFormat=P","Fill=—","Direction=H","UseDPDF=Y")</f>
        <v>0</v>
      </c>
      <c r="Y25" s="13">
        <f>_xll.BDH("AMZN US Equity","CF_DECR_INVEST","FQ3 2004","FQ3 2004","Currency=USD","Period=FQ","BEST_FPERIOD_OVERRIDE=FQ","FILING_STATUS=OR","SCALING_FORMAT=MLN","Sort=A","Dates=H","DateFormat=P","Fill=—","Direction=H","UseDPDF=Y")</f>
        <v>0</v>
      </c>
      <c r="Z25" s="13">
        <f>_xll.BDH("AMZN US Equity","CF_DECR_INVEST","FQ4 2004","FQ4 2004","Currency=USD","Period=FQ","BEST_FPERIOD_OVERRIDE=FQ","FILING_STATUS=OR","SCALING_FORMAT=MLN","Sort=A","Dates=H","DateFormat=P","Fill=—","Direction=H","UseDPDF=Y")</f>
        <v>0</v>
      </c>
      <c r="AA25" s="13">
        <f>_xll.BDH("AMZN US Equity","CF_DECR_INVEST","FQ1 2005","FQ1 2005","Currency=USD","Period=FQ","BEST_FPERIOD_OVERRIDE=FQ","FILING_STATUS=OR","SCALING_FORMAT=MLN","Sort=A","Dates=H","DateFormat=P","Fill=—","Direction=H","UseDPDF=Y")</f>
        <v>0</v>
      </c>
      <c r="AB25" s="13">
        <f>_xll.BDH("AMZN US Equity","CF_DECR_INVEST","FQ2 2005","FQ2 2005","Currency=USD","Period=FQ","BEST_FPERIOD_OVERRIDE=FQ","FILING_STATUS=OR","SCALING_FORMAT=MLN","Sort=A","Dates=H","DateFormat=P","Fill=—","Direction=H","UseDPDF=Y")</f>
        <v>0</v>
      </c>
      <c r="AC25" s="13">
        <f>_xll.BDH("AMZN US Equity","CF_DECR_INVEST","FQ3 2005","FQ3 2005","Currency=USD","Period=FQ","BEST_FPERIOD_OVERRIDE=FQ","FILING_STATUS=OR","SCALING_FORMAT=MLN","Sort=A","Dates=H","DateFormat=P","Fill=—","Direction=H","UseDPDF=Y")</f>
        <v>0</v>
      </c>
      <c r="AD25" s="13">
        <f>_xll.BDH("AMZN US Equity","CF_DECR_INVEST","FQ4 2005","FQ4 2005","Currency=USD","Period=FQ","BEST_FPERIOD_OVERRIDE=FQ","FILING_STATUS=OR","SCALING_FORMAT=MLN","Sort=A","Dates=H","DateFormat=P","Fill=—","Direction=H","UseDPDF=Y")</f>
        <v>126</v>
      </c>
      <c r="AE25" s="13">
        <f>_xll.BDH("AMZN US Equity","CF_DECR_INVEST","FQ1 2006","FQ1 2006","Currency=USD","Period=FQ","BEST_FPERIOD_OVERRIDE=FQ","FILING_STATUS=OR","SCALING_FORMAT=MLN","Sort=A","Dates=H","DateFormat=P","Fill=—","Direction=H","UseDPDF=Y")</f>
        <v>0</v>
      </c>
      <c r="AF25" s="13">
        <f>_xll.BDH("AMZN US Equity","CF_DECR_INVEST","FQ2 2006","FQ2 2006","Currency=USD","Period=FQ","BEST_FPERIOD_OVERRIDE=FQ","FILING_STATUS=OR","SCALING_FORMAT=MLN","Sort=A","Dates=H","DateFormat=P","Fill=—","Direction=H","UseDPDF=Y")</f>
        <v>0</v>
      </c>
      <c r="AG25" s="13">
        <f>_xll.BDH("AMZN US Equity","CF_DECR_INVEST","FQ3 2006","FQ3 2006","Currency=USD","Period=FQ","BEST_FPERIOD_OVERRIDE=FQ","FILING_STATUS=OR","SCALING_FORMAT=MLN","Sort=A","Dates=H","DateFormat=P","Fill=—","Direction=H","UseDPDF=Y")</f>
        <v>0</v>
      </c>
      <c r="AH25" s="13">
        <f>_xll.BDH("AMZN US Equity","CF_DECR_INVEST","FQ4 2006","FQ4 2006","Currency=USD","Period=FQ","BEST_FPERIOD_OVERRIDE=FQ","FILING_STATUS=OR","SCALING_FORMAT=MLN","Sort=A","Dates=H","DateFormat=P","Fill=—","Direction=H","UseDPDF=Y")</f>
        <v>0</v>
      </c>
      <c r="AI25" s="13">
        <f>_xll.BDH("AMZN US Equity","CF_DECR_INVEST","FQ1 2007","FQ1 2007","Currency=USD","Period=FQ","BEST_FPERIOD_OVERRIDE=FQ","FILING_STATUS=OR","SCALING_FORMAT=MLN","Sort=A","Dates=H","DateFormat=P","Fill=—","Direction=H","UseDPDF=Y")</f>
        <v>0</v>
      </c>
      <c r="AJ25" s="13">
        <f>_xll.BDH("AMZN US Equity","CF_DECR_INVEST","FQ2 2007","FQ2 2007","Currency=USD","Period=FQ","BEST_FPERIOD_OVERRIDE=FQ","FILING_STATUS=OR","SCALING_FORMAT=MLN","Sort=A","Dates=H","DateFormat=P","Fill=—","Direction=H","UseDPDF=Y")</f>
        <v>0</v>
      </c>
      <c r="AK25" s="13">
        <f>_xll.BDH("AMZN US Equity","CF_DECR_INVEST","FQ3 2007","FQ3 2007","Currency=USD","Period=FQ","BEST_FPERIOD_OVERRIDE=FQ","FILING_STATUS=OR","SCALING_FORMAT=MLN","Sort=A","Dates=H","DateFormat=P","Fill=—","Direction=H","UseDPDF=Y")</f>
        <v>0</v>
      </c>
      <c r="AL25" s="13" t="str">
        <f>_xll.BDH("AMZN US Equity","CF_DECR_INVEST","FQ4 2007","FQ4 2007","Currency=USD","Period=FQ","BEST_FPERIOD_OVERRIDE=FQ","FILING_STATUS=OR","SCALING_FORMAT=MLN","Sort=A","Dates=H","DateFormat=P","Fill=—","Direction=H","UseDPDF=Y")</f>
        <v>—</v>
      </c>
      <c r="AM25" s="13">
        <f>_xll.BDH("AMZN US Equity","CF_DECR_INVEST","FQ1 2008","FQ1 2008","Currency=USD","Period=FQ","BEST_FPERIOD_OVERRIDE=FQ","FILING_STATUS=OR","SCALING_FORMAT=MLN","Sort=A","Dates=H","DateFormat=P","Fill=—","Direction=H","UseDPDF=Y")</f>
        <v>0</v>
      </c>
      <c r="AN25" s="13">
        <f>_xll.BDH("AMZN US Equity","CF_DECR_INVEST","FQ2 2008","FQ2 2008","Currency=USD","Period=FQ","BEST_FPERIOD_OVERRIDE=FQ","FILING_STATUS=OR","SCALING_FORMAT=MLN","Sort=A","Dates=H","DateFormat=P","Fill=—","Direction=H","UseDPDF=Y")</f>
        <v>0</v>
      </c>
      <c r="AO25" s="13">
        <f>_xll.BDH("AMZN US Equity","CF_DECR_INVEST","FQ3 2008","FQ3 2008","Currency=USD","Period=FQ","BEST_FPERIOD_OVERRIDE=FQ","FILING_STATUS=OR","SCALING_FORMAT=MLN","Sort=A","Dates=H","DateFormat=P","Fill=—","Direction=H","UseDPDF=Y")</f>
        <v>0</v>
      </c>
      <c r="AP25" s="13" t="str">
        <f>_xll.BDH("AMZN US Equity","CF_DECR_INVEST","FQ4 2008","FQ4 2008","Currency=USD","Period=FQ","BEST_FPERIOD_OVERRIDE=FQ","FILING_STATUS=OR","SCALING_FORMAT=MLN","Sort=A","Dates=H","DateFormat=P","Fill=—","Direction=H","UseDPDF=Y")</f>
        <v>—</v>
      </c>
    </row>
    <row r="26" spans="1:42" x14ac:dyDescent="0.25">
      <c r="A26" s="10" t="s">
        <v>335</v>
      </c>
      <c r="B26" s="10" t="s">
        <v>336</v>
      </c>
      <c r="C26" s="13">
        <f>_xll.BDH("AMZN US Equity","CF_INCR_INVEST","FQ1 1999","FQ1 1999","Currency=USD","Period=FQ","BEST_FPERIOD_OVERRIDE=FQ","FILING_STATUS=OR","SCALING_FORMAT=MLN","Sort=A","Dates=H","DateFormat=P","Fill=—","Direction=H","UseDPDF=Y")</f>
        <v>0</v>
      </c>
      <c r="D26" s="13">
        <f>_xll.BDH("AMZN US Equity","CF_INCR_INVEST","FQ2 1999","FQ2 1999","Currency=USD","Period=FQ","BEST_FPERIOD_OVERRIDE=FQ","FILING_STATUS=OR","SCALING_FORMAT=MLN","Sort=A","Dates=H","DateFormat=P","Fill=—","Direction=H","UseDPDF=Y")</f>
        <v>0</v>
      </c>
      <c r="E26" s="13">
        <f>_xll.BDH("AMZN US Equity","CF_INCR_INVEST","FQ3 1999","FQ3 1999","Currency=USD","Period=FQ","BEST_FPERIOD_OVERRIDE=FQ","FILING_STATUS=OR","SCALING_FORMAT=MLN","Sort=A","Dates=H","DateFormat=P","Fill=—","Direction=H","UseDPDF=Y")</f>
        <v>0</v>
      </c>
      <c r="F26" s="13">
        <f>_xll.BDH("AMZN US Equity","CF_INCR_INVEST","FQ4 1999","FQ4 1999","Currency=USD","Period=FQ","BEST_FPERIOD_OVERRIDE=FQ","FILING_STATUS=OR","SCALING_FORMAT=MLN","Sort=A","Dates=H","DateFormat=P","Fill=—","Direction=H","UseDPDF=Y")</f>
        <v>0</v>
      </c>
      <c r="G26" s="13">
        <f>_xll.BDH("AMZN US Equity","CF_INCR_INVEST","FQ1 2000","FQ1 2000","Currency=USD","Period=FQ","BEST_FPERIOD_OVERRIDE=FQ","FILING_STATUS=OR","SCALING_FORMAT=MLN","Sort=A","Dates=H","DateFormat=P","Fill=—","Direction=H","UseDPDF=Y")</f>
        <v>-28.856000000000002</v>
      </c>
      <c r="H26" s="13">
        <f>_xll.BDH("AMZN US Equity","CF_INCR_INVEST","FQ2 2000","FQ2 2000","Currency=USD","Period=FQ","BEST_FPERIOD_OVERRIDE=FQ","FILING_STATUS=OR","SCALING_FORMAT=MLN","Sort=A","Dates=H","DateFormat=P","Fill=—","Direction=H","UseDPDF=Y")</f>
        <v>-21.93</v>
      </c>
      <c r="I26" s="13">
        <f>_xll.BDH("AMZN US Equity","CF_INCR_INVEST","FQ3 2000","FQ3 2000","Currency=USD","Period=FQ","BEST_FPERIOD_OVERRIDE=FQ","FILING_STATUS=OR","SCALING_FORMAT=MLN","Sort=A","Dates=H","DateFormat=P","Fill=—","Direction=H","UseDPDF=Y")</f>
        <v>-44.954000000000001</v>
      </c>
      <c r="J26" s="13">
        <f>_xll.BDH("AMZN US Equity","CF_INCR_INVEST","FQ4 2000","FQ4 2000","Currency=USD","Period=FQ","BEST_FPERIOD_OVERRIDE=FQ","FILING_STATUS=OR","SCALING_FORMAT=MLN","Sort=A","Dates=H","DateFormat=P","Fill=—","Direction=H","UseDPDF=Y")</f>
        <v>-88.715000000000003</v>
      </c>
      <c r="K26" s="13">
        <f>_xll.BDH("AMZN US Equity","CF_INCR_INVEST","FQ1 2001","FQ1 2001","Currency=USD","Period=FQ","BEST_FPERIOD_OVERRIDE=FQ","FILING_STATUS=OR","SCALING_FORMAT=MLN","Sort=A","Dates=H","DateFormat=P","Fill=—","Direction=H","UseDPDF=Y")</f>
        <v>-30.378</v>
      </c>
      <c r="L26" s="13">
        <f>_xll.BDH("AMZN US Equity","CF_INCR_INVEST","FQ2 2001","FQ2 2001","Currency=USD","Period=FQ","BEST_FPERIOD_OVERRIDE=FQ","FILING_STATUS=OR","SCALING_FORMAT=MLN","Sort=A","Dates=H","DateFormat=P","Fill=—","Direction=H","UseDPDF=Y")</f>
        <v>-26.742999999999999</v>
      </c>
      <c r="M26" s="13">
        <f>_xll.BDH("AMZN US Equity","CF_INCR_INVEST","FQ3 2001","FQ3 2001","Currency=USD","Period=FQ","BEST_FPERIOD_OVERRIDE=FQ","FILING_STATUS=OR","SCALING_FORMAT=MLN","Sort=A","Dates=H","DateFormat=P","Fill=—","Direction=H","UseDPDF=Y")</f>
        <v>-223.81700000000001</v>
      </c>
      <c r="N26" s="13">
        <f>_xll.BDH("AMZN US Equity","CF_INCR_INVEST","FQ4 2001","FQ4 2001","Currency=USD","Period=FQ","BEST_FPERIOD_OVERRIDE=FQ","FILING_STATUS=OR","SCALING_FORMAT=MLN","Sort=A","Dates=H","DateFormat=P","Fill=—","Direction=H","UseDPDF=Y")</f>
        <v>-286.214</v>
      </c>
      <c r="O26" s="13">
        <f>_xll.BDH("AMZN US Equity","CF_INCR_INVEST","FQ1 2002","FQ1 2002","Currency=USD","Period=FQ","BEST_FPERIOD_OVERRIDE=FQ","FILING_STATUS=OR","SCALING_FORMAT=MLN","Sort=A","Dates=H","DateFormat=P","Fill=—","Direction=H","UseDPDF=Y")</f>
        <v>-134.227</v>
      </c>
      <c r="P26" s="13">
        <f>_xll.BDH("AMZN US Equity","CF_INCR_INVEST","FQ2 2002","FQ2 2002","Currency=USD","Period=FQ","BEST_FPERIOD_OVERRIDE=FQ","FILING_STATUS=OR","SCALING_FORMAT=MLN","Sort=A","Dates=H","DateFormat=P","Fill=—","Direction=H","UseDPDF=Y")</f>
        <v>-299.87700000000001</v>
      </c>
      <c r="Q26" s="13">
        <f>_xll.BDH("AMZN US Equity","CF_INCR_INVEST","FQ3 2002","FQ3 2002","Currency=USD","Period=FQ","BEST_FPERIOD_OVERRIDE=FQ","FILING_STATUS=OR","SCALING_FORMAT=MLN","Sort=A","Dates=H","DateFormat=P","Fill=—","Direction=H","UseDPDF=Y")</f>
        <v>-28.186</v>
      </c>
      <c r="R26" s="13">
        <f>_xll.BDH("AMZN US Equity","CF_INCR_INVEST","FQ4 2002","FQ4 2002","Currency=USD","Period=FQ","BEST_FPERIOD_OVERRIDE=FQ","FILING_STATUS=OR","SCALING_FORMAT=MLN","Sort=A","Dates=H","DateFormat=P","Fill=—","Direction=H","UseDPDF=Y")</f>
        <v>-173.52</v>
      </c>
      <c r="S26" s="13">
        <f>_xll.BDH("AMZN US Equity","CF_INCR_INVEST","FQ1 2003","FQ1 2003","Currency=USD","Period=FQ","BEST_FPERIOD_OVERRIDE=FQ","FILING_STATUS=OR","SCALING_FORMAT=MLN","Sort=A","Dates=H","DateFormat=P","Fill=—","Direction=H","UseDPDF=Y")</f>
        <v>0</v>
      </c>
      <c r="T26" s="13">
        <f>_xll.BDH("AMZN US Equity","CF_INCR_INVEST","FQ2 2003","FQ2 2003","Currency=USD","Period=FQ","BEST_FPERIOD_OVERRIDE=FQ","FILING_STATUS=OR","SCALING_FORMAT=MLN","Sort=A","Dates=H","DateFormat=P","Fill=—","Direction=H","UseDPDF=Y")</f>
        <v>0</v>
      </c>
      <c r="U26" s="13">
        <f>_xll.BDH("AMZN US Equity","CF_INCR_INVEST","FQ3 2003","FQ3 2003","Currency=USD","Period=FQ","BEST_FPERIOD_OVERRIDE=FQ","FILING_STATUS=OR","SCALING_FORMAT=MLN","Sort=A","Dates=H","DateFormat=P","Fill=—","Direction=H","UseDPDF=Y")</f>
        <v>0</v>
      </c>
      <c r="V26" s="13">
        <f>_xll.BDH("AMZN US Equity","CF_INCR_INVEST","FQ4 2003","FQ4 2003","Currency=USD","Period=FQ","BEST_FPERIOD_OVERRIDE=FQ","FILING_STATUS=OR","SCALING_FORMAT=MLN","Sort=A","Dates=H","DateFormat=P","Fill=—","Direction=H","UseDPDF=Y")</f>
        <v>0</v>
      </c>
      <c r="W26" s="13">
        <f>_xll.BDH("AMZN US Equity","CF_INCR_INVEST","FQ1 2004","FQ1 2004","Currency=USD","Period=FQ","BEST_FPERIOD_OVERRIDE=FQ","FILING_STATUS=OR","SCALING_FORMAT=MLN","Sort=A","Dates=H","DateFormat=P","Fill=—","Direction=H","UseDPDF=Y")</f>
        <v>0</v>
      </c>
      <c r="X26" s="13">
        <f>_xll.BDH("AMZN US Equity","CF_INCR_INVEST","FQ2 2004","FQ2 2004","Currency=USD","Period=FQ","BEST_FPERIOD_OVERRIDE=FQ","FILING_STATUS=OR","SCALING_FORMAT=MLN","Sort=A","Dates=H","DateFormat=P","Fill=—","Direction=H","UseDPDF=Y")</f>
        <v>0</v>
      </c>
      <c r="Y26" s="13">
        <f>_xll.BDH("AMZN US Equity","CF_INCR_INVEST","FQ3 2004","FQ3 2004","Currency=USD","Period=FQ","BEST_FPERIOD_OVERRIDE=FQ","FILING_STATUS=OR","SCALING_FORMAT=MLN","Sort=A","Dates=H","DateFormat=P","Fill=—","Direction=H","UseDPDF=Y")</f>
        <v>0</v>
      </c>
      <c r="Z26" s="13">
        <f>_xll.BDH("AMZN US Equity","CF_INCR_INVEST","FQ4 2004","FQ4 2004","Currency=USD","Period=FQ","BEST_FPERIOD_OVERRIDE=FQ","FILING_STATUS=OR","SCALING_FORMAT=MLN","Sort=A","Dates=H","DateFormat=P","Fill=—","Direction=H","UseDPDF=Y")</f>
        <v>0</v>
      </c>
      <c r="AA26" s="13">
        <f>_xll.BDH("AMZN US Equity","CF_INCR_INVEST","FQ1 2005","FQ1 2005","Currency=USD","Period=FQ","BEST_FPERIOD_OVERRIDE=FQ","FILING_STATUS=OR","SCALING_FORMAT=MLN","Sort=A","Dates=H","DateFormat=P","Fill=—","Direction=H","UseDPDF=Y")</f>
        <v>0</v>
      </c>
      <c r="AB26" s="13">
        <f>_xll.BDH("AMZN US Equity","CF_INCR_INVEST","FQ2 2005","FQ2 2005","Currency=USD","Period=FQ","BEST_FPERIOD_OVERRIDE=FQ","FILING_STATUS=OR","SCALING_FORMAT=MLN","Sort=A","Dates=H","DateFormat=P","Fill=—","Direction=H","UseDPDF=Y")</f>
        <v>0</v>
      </c>
      <c r="AC26" s="13">
        <f>_xll.BDH("AMZN US Equity","CF_INCR_INVEST","FQ3 2005","FQ3 2005","Currency=USD","Period=FQ","BEST_FPERIOD_OVERRIDE=FQ","FILING_STATUS=OR","SCALING_FORMAT=MLN","Sort=A","Dates=H","DateFormat=P","Fill=—","Direction=H","UseDPDF=Y")</f>
        <v>0</v>
      </c>
      <c r="AD26" s="13" t="str">
        <f>_xll.BDH("AMZN US Equity","CF_INCR_INVEST","FQ4 2005","FQ4 2005","Currency=USD","Period=FQ","BEST_FPERIOD_OVERRIDE=FQ","FILING_STATUS=OR","SCALING_FORMAT=MLN","Sort=A","Dates=H","DateFormat=P","Fill=—","Direction=H","UseDPDF=Y")</f>
        <v>—</v>
      </c>
      <c r="AE26" s="13">
        <f>_xll.BDH("AMZN US Equity","CF_INCR_INVEST","FQ1 2006","FQ1 2006","Currency=USD","Period=FQ","BEST_FPERIOD_OVERRIDE=FQ","FILING_STATUS=OR","SCALING_FORMAT=MLN","Sort=A","Dates=H","DateFormat=P","Fill=—","Direction=H","UseDPDF=Y")</f>
        <v>0</v>
      </c>
      <c r="AF26" s="13">
        <f>_xll.BDH("AMZN US Equity","CF_INCR_INVEST","FQ2 2006","FQ2 2006","Currency=USD","Period=FQ","BEST_FPERIOD_OVERRIDE=FQ","FILING_STATUS=OR","SCALING_FORMAT=MLN","Sort=A","Dates=H","DateFormat=P","Fill=—","Direction=H","UseDPDF=Y")</f>
        <v>0</v>
      </c>
      <c r="AG26" s="13">
        <f>_xll.BDH("AMZN US Equity","CF_INCR_INVEST","FQ3 2006","FQ3 2006","Currency=USD","Period=FQ","BEST_FPERIOD_OVERRIDE=FQ","FILING_STATUS=OR","SCALING_FORMAT=MLN","Sort=A","Dates=H","DateFormat=P","Fill=—","Direction=H","UseDPDF=Y")</f>
        <v>0</v>
      </c>
      <c r="AH26" s="13">
        <f>_xll.BDH("AMZN US Equity","CF_INCR_INVEST","FQ4 2006","FQ4 2006","Currency=USD","Period=FQ","BEST_FPERIOD_OVERRIDE=FQ","FILING_STATUS=OR","SCALING_FORMAT=MLN","Sort=A","Dates=H","DateFormat=P","Fill=—","Direction=H","UseDPDF=Y")</f>
        <v>0</v>
      </c>
      <c r="AI26" s="13">
        <f>_xll.BDH("AMZN US Equity","CF_INCR_INVEST","FQ1 2007","FQ1 2007","Currency=USD","Period=FQ","BEST_FPERIOD_OVERRIDE=FQ","FILING_STATUS=OR","SCALING_FORMAT=MLN","Sort=A","Dates=H","DateFormat=P","Fill=—","Direction=H","UseDPDF=Y")</f>
        <v>0</v>
      </c>
      <c r="AJ26" s="13">
        <f>_xll.BDH("AMZN US Equity","CF_INCR_INVEST","FQ2 2007","FQ2 2007","Currency=USD","Period=FQ","BEST_FPERIOD_OVERRIDE=FQ","FILING_STATUS=OR","SCALING_FORMAT=MLN","Sort=A","Dates=H","DateFormat=P","Fill=—","Direction=H","UseDPDF=Y")</f>
        <v>0</v>
      </c>
      <c r="AK26" s="13">
        <f>_xll.BDH("AMZN US Equity","CF_INCR_INVEST","FQ3 2007","FQ3 2007","Currency=USD","Period=FQ","BEST_FPERIOD_OVERRIDE=FQ","FILING_STATUS=OR","SCALING_FORMAT=MLN","Sort=A","Dates=H","DateFormat=P","Fill=—","Direction=H","UseDPDF=Y")</f>
        <v>0</v>
      </c>
      <c r="AL26" s="13" t="str">
        <f>_xll.BDH("AMZN US Equity","CF_INCR_INVEST","FQ4 2007","FQ4 2007","Currency=USD","Period=FQ","BEST_FPERIOD_OVERRIDE=FQ","FILING_STATUS=OR","SCALING_FORMAT=MLN","Sort=A","Dates=H","DateFormat=P","Fill=—","Direction=H","UseDPDF=Y")</f>
        <v>—</v>
      </c>
      <c r="AM26" s="13">
        <f>_xll.BDH("AMZN US Equity","CF_INCR_INVEST","FQ1 2008","FQ1 2008","Currency=USD","Period=FQ","BEST_FPERIOD_OVERRIDE=FQ","FILING_STATUS=OR","SCALING_FORMAT=MLN","Sort=A","Dates=H","DateFormat=P","Fill=—","Direction=H","UseDPDF=Y")</f>
        <v>0</v>
      </c>
      <c r="AN26" s="13">
        <f>_xll.BDH("AMZN US Equity","CF_INCR_INVEST","FQ2 2008","FQ2 2008","Currency=USD","Period=FQ","BEST_FPERIOD_OVERRIDE=FQ","FILING_STATUS=OR","SCALING_FORMAT=MLN","Sort=A","Dates=H","DateFormat=P","Fill=—","Direction=H","UseDPDF=Y")</f>
        <v>0</v>
      </c>
      <c r="AO26" s="13">
        <f>_xll.BDH("AMZN US Equity","CF_INCR_INVEST","FQ3 2008","FQ3 2008","Currency=USD","Period=FQ","BEST_FPERIOD_OVERRIDE=FQ","FILING_STATUS=OR","SCALING_FORMAT=MLN","Sort=A","Dates=H","DateFormat=P","Fill=—","Direction=H","UseDPDF=Y")</f>
        <v>0</v>
      </c>
      <c r="AP26" s="13" t="str">
        <f>_xll.BDH("AMZN US Equity","CF_INCR_INVEST","FQ4 2008","FQ4 2008","Currency=USD","Period=FQ","BEST_FPERIOD_OVERRIDE=FQ","FILING_STATUS=OR","SCALING_FORMAT=MLN","Sort=A","Dates=H","DateFormat=P","Fill=—","Direction=H","UseDPDF=Y")</f>
        <v>—</v>
      </c>
    </row>
    <row r="27" spans="1:42" x14ac:dyDescent="0.25">
      <c r="A27" s="10" t="s">
        <v>337</v>
      </c>
      <c r="B27" s="10" t="s">
        <v>338</v>
      </c>
      <c r="C27" s="13">
        <f>_xll.BDH("AMZN US Equity","OTHER_INVESTING_ACT_DETAILED","FQ1 1999","FQ1 1999","Currency=USD","Period=FQ","BEST_FPERIOD_OVERRIDE=FQ","FILING_STATUS=OR","SCALING_FORMAT=MLN","Sort=A","Dates=H","DateFormat=P","Fill=—","Direction=H","UseDPDF=Y")</f>
        <v>-1124.2819999999999</v>
      </c>
      <c r="D27" s="13">
        <f>_xll.BDH("AMZN US Equity","OTHER_INVESTING_ACT_DETAILED","FQ2 1999","FQ2 1999","Currency=USD","Period=FQ","BEST_FPERIOD_OVERRIDE=FQ","FILING_STATUS=OR","SCALING_FORMAT=MLN","Sort=A","Dates=H","DateFormat=P","Fill=—","Direction=H","UseDPDF=Y")</f>
        <v>244.82400000000001</v>
      </c>
      <c r="E27" s="13">
        <f>_xll.BDH("AMZN US Equity","OTHER_INVESTING_ACT_DETAILED","FQ3 1999","FQ3 1999","Currency=USD","Period=FQ","BEST_FPERIOD_OVERRIDE=FQ","FILING_STATUS=OR","SCALING_FORMAT=MLN","Sort=A","Dates=H","DateFormat=P","Fill=—","Direction=H","UseDPDF=Y")</f>
        <v>123.322</v>
      </c>
      <c r="F27" s="13">
        <f>_xll.BDH("AMZN US Equity","OTHER_INVESTING_ACT_DETAILED","FQ4 1999","FQ4 1999","Currency=USD","Period=FQ","BEST_FPERIOD_OVERRIDE=FQ","FILING_STATUS=OR","SCALING_FORMAT=MLN","Sort=A","Dates=H","DateFormat=P","Fill=—","Direction=H","UseDPDF=Y")</f>
        <v>91.231999999999999</v>
      </c>
      <c r="G27" s="13">
        <f>_xll.BDH("AMZN US Equity","OTHER_INVESTING_ACT_DETAILED","FQ1 2000","FQ1 2000","Currency=USD","Period=FQ","BEST_FPERIOD_OVERRIDE=FQ","FILING_STATUS=OR","SCALING_FORMAT=MLN","Sort=A","Dates=H","DateFormat=P","Fill=—","Direction=H","UseDPDF=Y")</f>
        <v>-47.487000000000002</v>
      </c>
      <c r="H27" s="13">
        <f>_xll.BDH("AMZN US Equity","OTHER_INVESTING_ACT_DETAILED","FQ2 2000","FQ2 2000","Currency=USD","Period=FQ","BEST_FPERIOD_OVERRIDE=FQ","FILING_STATUS=OR","SCALING_FORMAT=MLN","Sort=A","Dates=H","DateFormat=P","Fill=—","Direction=H","UseDPDF=Y")</f>
        <v>-8.5950000000000006</v>
      </c>
      <c r="I27" s="13">
        <f>_xll.BDH("AMZN US Equity","OTHER_INVESTING_ACT_DETAILED","FQ3 2000","FQ3 2000","Currency=USD","Period=FQ","BEST_FPERIOD_OVERRIDE=FQ","FILING_STATUS=OR","SCALING_FORMAT=MLN","Sort=A","Dates=H","DateFormat=P","Fill=—","Direction=H","UseDPDF=Y")</f>
        <v>-5.76</v>
      </c>
      <c r="J27" s="13">
        <f>_xll.BDH("AMZN US Equity","OTHER_INVESTING_ACT_DETAILED","FQ4 2000","FQ4 2000","Currency=USD","Period=FQ","BEST_FPERIOD_OVERRIDE=FQ","FILING_STATUS=OR","SCALING_FORMAT=MLN","Sort=A","Dates=H","DateFormat=P","Fill=—","Direction=H","UseDPDF=Y")</f>
        <v>-0.69099999999999995</v>
      </c>
      <c r="K27" s="13">
        <f>_xll.BDH("AMZN US Equity","OTHER_INVESTING_ACT_DETAILED","FQ1 2001","FQ1 2001","Currency=USD","Period=FQ","BEST_FPERIOD_OVERRIDE=FQ","FILING_STATUS=OR","SCALING_FORMAT=MLN","Sort=A","Dates=H","DateFormat=P","Fill=—","Direction=H","UseDPDF=Y")</f>
        <v>0</v>
      </c>
      <c r="L27" s="13">
        <f>_xll.BDH("AMZN US Equity","OTHER_INVESTING_ACT_DETAILED","FQ2 2001","FQ2 2001","Currency=USD","Period=FQ","BEST_FPERIOD_OVERRIDE=FQ","FILING_STATUS=OR","SCALING_FORMAT=MLN","Sort=A","Dates=H","DateFormat=P","Fill=—","Direction=H","UseDPDF=Y")</f>
        <v>0</v>
      </c>
      <c r="M27" s="13">
        <f>_xll.BDH("AMZN US Equity","OTHER_INVESTING_ACT_DETAILED","FQ3 2001","FQ3 2001","Currency=USD","Period=FQ","BEST_FPERIOD_OVERRIDE=FQ","FILING_STATUS=OR","SCALING_FORMAT=MLN","Sort=A","Dates=H","DateFormat=P","Fill=—","Direction=H","UseDPDF=Y")</f>
        <v>0</v>
      </c>
      <c r="N27" s="13">
        <f>_xll.BDH("AMZN US Equity","OTHER_INVESTING_ACT_DETAILED","FQ4 2001","FQ4 2001","Currency=USD","Period=FQ","BEST_FPERIOD_OVERRIDE=FQ","FILING_STATUS=OR","SCALING_FORMAT=MLN","Sort=A","Dates=H","DateFormat=P","Fill=—","Direction=H","UseDPDF=Y")</f>
        <v>-6.1980000000000004</v>
      </c>
      <c r="O27" s="13">
        <f>_xll.BDH("AMZN US Equity","OTHER_INVESTING_ACT_DETAILED","FQ1 2002","FQ1 2002","Currency=USD","Period=FQ","BEST_FPERIOD_OVERRIDE=FQ","FILING_STATUS=OR","SCALING_FORMAT=MLN","Sort=A","Dates=H","DateFormat=P","Fill=—","Direction=H","UseDPDF=Y")</f>
        <v>0</v>
      </c>
      <c r="P27" s="13">
        <f>_xll.BDH("AMZN US Equity","OTHER_INVESTING_ACT_DETAILED","FQ2 2002","FQ2 2002","Currency=USD","Period=FQ","BEST_FPERIOD_OVERRIDE=FQ","FILING_STATUS=OR","SCALING_FORMAT=MLN","Sort=A","Dates=H","DateFormat=P","Fill=—","Direction=H","UseDPDF=Y")</f>
        <v>0</v>
      </c>
      <c r="Q27" s="13">
        <f>_xll.BDH("AMZN US Equity","OTHER_INVESTING_ACT_DETAILED","FQ3 2002","FQ3 2002","Currency=USD","Period=FQ","BEST_FPERIOD_OVERRIDE=FQ","FILING_STATUS=OR","SCALING_FORMAT=MLN","Sort=A","Dates=H","DateFormat=P","Fill=—","Direction=H","UseDPDF=Y")</f>
        <v>0</v>
      </c>
      <c r="R27" s="13">
        <f>_xll.BDH("AMZN US Equity","OTHER_INVESTING_ACT_DETAILED","FQ4 2002","FQ4 2002","Currency=USD","Period=FQ","BEST_FPERIOD_OVERRIDE=FQ","FILING_STATUS=OR","SCALING_FORMAT=MLN","Sort=A","Dates=H","DateFormat=P","Fill=—","Direction=H","UseDPDF=Y")</f>
        <v>0</v>
      </c>
      <c r="S27" s="13">
        <f>_xll.BDH("AMZN US Equity","OTHER_INVESTING_ACT_DETAILED","FQ1 2003","FQ1 2003","Currency=USD","Period=FQ","BEST_FPERIOD_OVERRIDE=FQ","FILING_STATUS=OR","SCALING_FORMAT=MLN","Sort=A","Dates=H","DateFormat=P","Fill=—","Direction=H","UseDPDF=Y")</f>
        <v>-24.1</v>
      </c>
      <c r="T27" s="13">
        <f>_xll.BDH("AMZN US Equity","OTHER_INVESTING_ACT_DETAILED","FQ2 2003","FQ2 2003","Currency=USD","Period=FQ","BEST_FPERIOD_OVERRIDE=FQ","FILING_STATUS=OR","SCALING_FORMAT=MLN","Sort=A","Dates=H","DateFormat=P","Fill=—","Direction=H","UseDPDF=Y")</f>
        <v>240.809</v>
      </c>
      <c r="U27" s="13">
        <f>_xll.BDH("AMZN US Equity","OTHER_INVESTING_ACT_DETAILED","FQ3 2003","FQ3 2003","Currency=USD","Period=FQ","BEST_FPERIOD_OVERRIDE=FQ","FILING_STATUS=OR","SCALING_FORMAT=MLN","Sort=A","Dates=H","DateFormat=P","Fill=—","Direction=H","UseDPDF=Y")</f>
        <v>-44.82</v>
      </c>
      <c r="V27" s="13">
        <f>_xll.BDH("AMZN US Equity","OTHER_INVESTING_ACT_DETAILED","FQ4 2003","FQ4 2003","Currency=USD","Period=FQ","BEST_FPERIOD_OVERRIDE=FQ","FILING_STATUS=OR","SCALING_FORMAT=MLN","Sort=A","Dates=H","DateFormat=P","Fill=—","Direction=H","UseDPDF=Y")</f>
        <v>110.72499999999999</v>
      </c>
      <c r="W27" s="13">
        <f>_xll.BDH("AMZN US Equity","OTHER_INVESTING_ACT_DETAILED","FQ1 2004","FQ1 2004","Currency=USD","Period=FQ","BEST_FPERIOD_OVERRIDE=FQ","FILING_STATUS=OR","SCALING_FORMAT=MLN","Sort=A","Dates=H","DateFormat=P","Fill=—","Direction=H","UseDPDF=Y")</f>
        <v>65.088999999999999</v>
      </c>
      <c r="X27" s="13">
        <f>_xll.BDH("AMZN US Equity","OTHER_INVESTING_ACT_DETAILED","FQ2 2004","FQ2 2004","Currency=USD","Period=FQ","BEST_FPERIOD_OVERRIDE=FQ","FILING_STATUS=OR","SCALING_FORMAT=MLN","Sort=A","Dates=H","DateFormat=P","Fill=—","Direction=H","UseDPDF=Y")</f>
        <v>-208.14599999999999</v>
      </c>
      <c r="Y27" s="13">
        <f>_xll.BDH("AMZN US Equity","OTHER_INVESTING_ACT_DETAILED","FQ3 2004","FQ3 2004","Currency=USD","Period=FQ","BEST_FPERIOD_OVERRIDE=FQ","FILING_STATUS=OR","SCALING_FORMAT=MLN","Sort=A","Dates=H","DateFormat=P","Fill=—","Direction=H","UseDPDF=Y")</f>
        <v>-56.759</v>
      </c>
      <c r="Z27" s="13">
        <f>_xll.BDH("AMZN US Equity","OTHER_INVESTING_ACT_DETAILED","FQ4 2004","FQ4 2004","Currency=USD","Period=FQ","BEST_FPERIOD_OVERRIDE=FQ","FILING_STATUS=OR","SCALING_FORMAT=MLN","Sort=A","Dates=H","DateFormat=P","Fill=—","Direction=H","UseDPDF=Y")</f>
        <v>-28.681999999999999</v>
      </c>
      <c r="AA27" s="13">
        <f>_xll.BDH("AMZN US Equity","OTHER_INVESTING_ACT_DETAILED","FQ1 2005","FQ1 2005","Currency=USD","Period=FQ","BEST_FPERIOD_OVERRIDE=FQ","FILING_STATUS=OR","SCALING_FORMAT=MLN","Sort=A","Dates=H","DateFormat=P","Fill=—","Direction=H","UseDPDF=Y")</f>
        <v>-171</v>
      </c>
      <c r="AB27" s="13">
        <f>_xll.BDH("AMZN US Equity","OTHER_INVESTING_ACT_DETAILED","FQ2 2005","FQ2 2005","Currency=USD","Period=FQ","BEST_FPERIOD_OVERRIDE=FQ","FILING_STATUS=OR","SCALING_FORMAT=MLN","Sort=A","Dates=H","DateFormat=P","Fill=—","Direction=H","UseDPDF=Y")</f>
        <v>-98</v>
      </c>
      <c r="AC27" s="13">
        <f>_xll.BDH("AMZN US Equity","OTHER_INVESTING_ACT_DETAILED","FQ3 2005","FQ3 2005","Currency=USD","Period=FQ","BEST_FPERIOD_OVERRIDE=FQ","FILING_STATUS=OR","SCALING_FORMAT=MLN","Sort=A","Dates=H","DateFormat=P","Fill=—","Direction=H","UseDPDF=Y")</f>
        <v>-130</v>
      </c>
      <c r="AD27" s="13">
        <f>_xll.BDH("AMZN US Equity","OTHER_INVESTING_ACT_DETAILED","FQ4 2005","FQ4 2005","Currency=USD","Period=FQ","BEST_FPERIOD_OVERRIDE=FQ","FILING_STATUS=OR","SCALING_FORMAT=MLN","Sort=A","Dates=H","DateFormat=P","Fill=—","Direction=H","UseDPDF=Y")</f>
        <v>-301</v>
      </c>
      <c r="AE27" s="13">
        <f>_xll.BDH("AMZN US Equity","OTHER_INVESTING_ACT_DETAILED","FQ1 2006","FQ1 2006","Currency=USD","Period=FQ","BEST_FPERIOD_OVERRIDE=FQ","FILING_STATUS=OR","SCALING_FORMAT=MLN","Sort=A","Dates=H","DateFormat=P","Fill=—","Direction=H","UseDPDF=Y")</f>
        <v>130</v>
      </c>
      <c r="AF27" s="13">
        <f>_xll.BDH("AMZN US Equity","OTHER_INVESTING_ACT_DETAILED","FQ2 2006","FQ2 2006","Currency=USD","Period=FQ","BEST_FPERIOD_OVERRIDE=FQ","FILING_STATUS=OR","SCALING_FORMAT=MLN","Sort=A","Dates=H","DateFormat=P","Fill=—","Direction=H","UseDPDF=Y")</f>
        <v>17</v>
      </c>
      <c r="AG27" s="13">
        <f>_xll.BDH("AMZN US Equity","OTHER_INVESTING_ACT_DETAILED","FQ3 2006","FQ3 2006","Currency=USD","Period=FQ","BEST_FPERIOD_OVERRIDE=FQ","FILING_STATUS=OR","SCALING_FORMAT=MLN","Sort=A","Dates=H","DateFormat=P","Fill=—","Direction=H","UseDPDF=Y")</f>
        <v>209</v>
      </c>
      <c r="AH27" s="13">
        <f>_xll.BDH("AMZN US Equity","OTHER_INVESTING_ACT_DETAILED","FQ4 2006","FQ4 2006","Currency=USD","Period=FQ","BEST_FPERIOD_OVERRIDE=FQ","FILING_STATUS=OR","SCALING_FORMAT=MLN","Sort=A","Dates=H","DateFormat=P","Fill=—","Direction=H","UseDPDF=Y")</f>
        <v>-473</v>
      </c>
      <c r="AI27" s="13">
        <f>_xll.BDH("AMZN US Equity","OTHER_INVESTING_ACT_DETAILED","FQ1 2007","FQ1 2007","Currency=USD","Period=FQ","BEST_FPERIOD_OVERRIDE=FQ","FILING_STATUS=OR","SCALING_FORMAT=MLN","Sort=A","Dates=H","DateFormat=P","Fill=—","Direction=H","UseDPDF=Y")</f>
        <v>269</v>
      </c>
      <c r="AJ27" s="13">
        <f>_xll.BDH("AMZN US Equity","OTHER_INVESTING_ACT_DETAILED","FQ2 2007","FQ2 2007","Currency=USD","Period=FQ","BEST_FPERIOD_OVERRIDE=FQ","FILING_STATUS=OR","SCALING_FORMAT=MLN","Sort=A","Dates=H","DateFormat=P","Fill=—","Direction=H","UseDPDF=Y")</f>
        <v>-41</v>
      </c>
      <c r="AK27" s="13">
        <f>_xll.BDH("AMZN US Equity","OTHER_INVESTING_ACT_DETAILED","FQ3 2007","FQ3 2007","Currency=USD","Period=FQ","BEST_FPERIOD_OVERRIDE=FQ","FILING_STATUS=OR","SCALING_FORMAT=MLN","Sort=A","Dates=H","DateFormat=P","Fill=—","Direction=H","UseDPDF=Y")</f>
        <v>103</v>
      </c>
      <c r="AL27" s="13">
        <f>_xll.BDH("AMZN US Equity","OTHER_INVESTING_ACT_DETAILED","FQ4 2007","FQ4 2007","Currency=USD","Period=FQ","BEST_FPERIOD_OVERRIDE=FQ","FILING_STATUS=OR","SCALING_FORMAT=MLN","Sort=A","Dates=H","DateFormat=P","Fill=—","Direction=H","UseDPDF=Y")</f>
        <v>-67</v>
      </c>
      <c r="AM27" s="13">
        <f>_xll.BDH("AMZN US Equity","OTHER_INVESTING_ACT_DETAILED","FQ1 2008","FQ1 2008","Currency=USD","Period=FQ","BEST_FPERIOD_OVERRIDE=FQ","FILING_STATUS=OR","SCALING_FORMAT=MLN","Sort=A","Dates=H","DateFormat=P","Fill=—","Direction=H","UseDPDF=Y")</f>
        <v>-466</v>
      </c>
      <c r="AN27" s="13">
        <f>_xll.BDH("AMZN US Equity","OTHER_INVESTING_ACT_DETAILED","FQ2 2008","FQ2 2008","Currency=USD","Period=FQ","BEST_FPERIOD_OVERRIDE=FQ","FILING_STATUS=OR","SCALING_FORMAT=MLN","Sort=A","Dates=H","DateFormat=P","Fill=—","Direction=H","UseDPDF=Y")</f>
        <v>-232</v>
      </c>
      <c r="AO27" s="13">
        <f>_xll.BDH("AMZN US Equity","OTHER_INVESTING_ACT_DETAILED","FQ3 2008","FQ3 2008","Currency=USD","Period=FQ","BEST_FPERIOD_OVERRIDE=FQ","FILING_STATUS=OR","SCALING_FORMAT=MLN","Sort=A","Dates=H","DateFormat=P","Fill=—","Direction=H","UseDPDF=Y")</f>
        <v>96</v>
      </c>
      <c r="AP27" s="13">
        <f>_xll.BDH("AMZN US Equity","OTHER_INVESTING_ACT_DETAILED","FQ4 2008","FQ4 2008","Currency=USD","Period=FQ","BEST_FPERIOD_OVERRIDE=FQ","FILING_STATUS=OR","SCALING_FORMAT=MLN","Sort=A","Dates=H","DateFormat=P","Fill=—","Direction=H","UseDPDF=Y")</f>
        <v>-264</v>
      </c>
    </row>
    <row r="28" spans="1:42" x14ac:dyDescent="0.25">
      <c r="A28" s="6" t="s">
        <v>324</v>
      </c>
      <c r="B28" s="6" t="s">
        <v>339</v>
      </c>
      <c r="C28" s="16">
        <f>_xll.BDH("AMZN US Equity","CF_CASH_FROM_INV_ACT","FQ1 1999","FQ1 1999","Currency=USD","Period=FQ","BEST_FPERIOD_OVERRIDE=FQ","FILING_STATUS=OR","SCALING_FORMAT=MLN","Sort=A","Dates=H","DateFormat=P","Fill=—","Direction=H","UseDPDF=Y")</f>
        <v>-1143.3440000000001</v>
      </c>
      <c r="D28" s="16">
        <f>_xll.BDH("AMZN US Equity","CF_CASH_FROM_INV_ACT","FQ2 1999","FQ2 1999","Currency=USD","Period=FQ","BEST_FPERIOD_OVERRIDE=FQ","FILING_STATUS=OR","SCALING_FORMAT=MLN","Sort=A","Dates=H","DateFormat=P","Fill=—","Direction=H","UseDPDF=Y")</f>
        <v>152.78899999999999</v>
      </c>
      <c r="E28" s="16">
        <f>_xll.BDH("AMZN US Equity","CF_CASH_FROM_INV_ACT","FQ3 1999","FQ3 1999","Currency=USD","Period=FQ","BEST_FPERIOD_OVERRIDE=FQ","FILING_STATUS=OR","SCALING_FORMAT=MLN","Sort=A","Dates=H","DateFormat=P","Fill=—","Direction=H","UseDPDF=Y")</f>
        <v>52.56</v>
      </c>
      <c r="F28" s="16">
        <f>_xll.BDH("AMZN US Equity","CF_CASH_FROM_INV_ACT","FQ4 1999","FQ4 1999","Currency=USD","Period=FQ","BEST_FPERIOD_OVERRIDE=FQ","FILING_STATUS=OR","SCALING_FORMAT=MLN","Sort=A","Dates=H","DateFormat=P","Fill=—","Direction=H","UseDPDF=Y")</f>
        <v>-13.964</v>
      </c>
      <c r="G28" s="16">
        <f>_xll.BDH("AMZN US Equity","CF_CASH_FROM_INV_ACT","FQ1 2000","FQ1 2000","Currency=USD","Period=FQ","BEST_FPERIOD_OVERRIDE=FQ","FILING_STATUS=OR","SCALING_FORMAT=MLN","Sort=A","Dates=H","DateFormat=P","Fill=—","Direction=H","UseDPDF=Y")</f>
        <v>277.40100000000001</v>
      </c>
      <c r="H28" s="16">
        <f>_xll.BDH("AMZN US Equity","CF_CASH_FROM_INV_ACT","FQ2 2000","FQ2 2000","Currency=USD","Period=FQ","BEST_FPERIOD_OVERRIDE=FQ","FILING_STATUS=OR","SCALING_FORMAT=MLN","Sort=A","Dates=H","DateFormat=P","Fill=—","Direction=H","UseDPDF=Y")</f>
        <v>9.5459999999999994</v>
      </c>
      <c r="I28" s="16">
        <f>_xll.BDH("AMZN US Equity","CF_CASH_FROM_INV_ACT","FQ3 2000","FQ3 2000","Currency=USD","Period=FQ","BEST_FPERIOD_OVERRIDE=FQ","FILING_STATUS=OR","SCALING_FORMAT=MLN","Sort=A","Dates=H","DateFormat=P","Fill=—","Direction=H","UseDPDF=Y")</f>
        <v>-20.042999999999999</v>
      </c>
      <c r="J28" s="16">
        <f>_xll.BDH("AMZN US Equity","CF_CASH_FROM_INV_ACT","FQ4 2000","FQ4 2000","Currency=USD","Period=FQ","BEST_FPERIOD_OVERRIDE=FQ","FILING_STATUS=OR","SCALING_FORMAT=MLN","Sort=A","Dates=H","DateFormat=P","Fill=—","Direction=H","UseDPDF=Y")</f>
        <v>-102.926</v>
      </c>
      <c r="K28" s="16">
        <f>_xll.BDH("AMZN US Equity","CF_CASH_FROM_INV_ACT","FQ1 2001","FQ1 2001","Currency=USD","Period=FQ","BEST_FPERIOD_OVERRIDE=FQ","FILING_STATUS=OR","SCALING_FORMAT=MLN","Sort=A","Dates=H","DateFormat=P","Fill=—","Direction=H","UseDPDF=Y")</f>
        <v>44.551000000000002</v>
      </c>
      <c r="L28" s="16">
        <f>_xll.BDH("AMZN US Equity","CF_CASH_FROM_INV_ACT","FQ2 2001","FQ2 2001","Currency=USD","Period=FQ","BEST_FPERIOD_OVERRIDE=FQ","FILING_STATUS=OR","SCALING_FORMAT=MLN","Sort=A","Dates=H","DateFormat=P","Fill=—","Direction=H","UseDPDF=Y")</f>
        <v>29.803000000000001</v>
      </c>
      <c r="M28" s="16">
        <f>_xll.BDH("AMZN US Equity","CF_CASH_FROM_INV_ACT","FQ3 2001","FQ3 2001","Currency=USD","Period=FQ","BEST_FPERIOD_OVERRIDE=FQ","FILING_STATUS=OR","SCALING_FORMAT=MLN","Sort=A","Dates=H","DateFormat=P","Fill=—","Direction=H","UseDPDF=Y")</f>
        <v>-95.018000000000001</v>
      </c>
      <c r="N28" s="16">
        <f>_xll.BDH("AMZN US Equity","CF_CASH_FROM_INV_ACT","FQ4 2001","FQ4 2001","Currency=USD","Period=FQ","BEST_FPERIOD_OVERRIDE=FQ","FILING_STATUS=OR","SCALING_FORMAT=MLN","Sort=A","Dates=H","DateFormat=P","Fill=—","Direction=H","UseDPDF=Y")</f>
        <v>-232.63</v>
      </c>
      <c r="O28" s="16">
        <f>_xll.BDH("AMZN US Equity","CF_CASH_FROM_INV_ACT","FQ1 2002","FQ1 2002","Currency=USD","Period=FQ","BEST_FPERIOD_OVERRIDE=FQ","FILING_STATUS=OR","SCALING_FORMAT=MLN","Sort=A","Dates=H","DateFormat=P","Fill=—","Direction=H","UseDPDF=Y")</f>
        <v>-2.5060000000000002</v>
      </c>
      <c r="P28" s="16">
        <f>_xll.BDH("AMZN US Equity","CF_CASH_FROM_INV_ACT","FQ2 2002","FQ2 2002","Currency=USD","Period=FQ","BEST_FPERIOD_OVERRIDE=FQ","FILING_STATUS=OR","SCALING_FORMAT=MLN","Sort=A","Dates=H","DateFormat=P","Fill=—","Direction=H","UseDPDF=Y")</f>
        <v>-93.980999999999995</v>
      </c>
      <c r="Q28" s="16">
        <f>_xll.BDH("AMZN US Equity","CF_CASH_FROM_INV_ACT","FQ3 2002","FQ3 2002","Currency=USD","Period=FQ","BEST_FPERIOD_OVERRIDE=FQ","FILING_STATUS=OR","SCALING_FORMAT=MLN","Sort=A","Dates=H","DateFormat=P","Fill=—","Direction=H","UseDPDF=Y")</f>
        <v>11.082000000000001</v>
      </c>
      <c r="R28" s="16">
        <f>_xll.BDH("AMZN US Equity","CF_CASH_FROM_INV_ACT","FQ4 2002","FQ4 2002","Currency=USD","Period=FQ","BEST_FPERIOD_OVERRIDE=FQ","FILING_STATUS=OR","SCALING_FORMAT=MLN","Sort=A","Dates=H","DateFormat=P","Fill=—","Direction=H","UseDPDF=Y")</f>
        <v>-36.279000000000003</v>
      </c>
      <c r="S28" s="16">
        <f>_xll.BDH("AMZN US Equity","CF_CASH_FROM_INV_ACT","FQ1 2003","FQ1 2003","Currency=USD","Period=FQ","BEST_FPERIOD_OVERRIDE=FQ","FILING_STATUS=OR","SCALING_FORMAT=MLN","Sort=A","Dates=H","DateFormat=P","Fill=—","Direction=H","UseDPDF=Y")</f>
        <v>-30.494</v>
      </c>
      <c r="T28" s="16">
        <f>_xll.BDH("AMZN US Equity","CF_CASH_FROM_INV_ACT","FQ2 2003","FQ2 2003","Currency=USD","Period=FQ","BEST_FPERIOD_OVERRIDE=FQ","FILING_STATUS=OR","SCALING_FORMAT=MLN","Sort=A","Dates=H","DateFormat=P","Fill=—","Direction=H","UseDPDF=Y")</f>
        <v>233.66800000000001</v>
      </c>
      <c r="U28" s="16">
        <f>_xll.BDH("AMZN US Equity","CF_CASH_FROM_INV_ACT","FQ3 2003","FQ3 2003","Currency=USD","Period=FQ","BEST_FPERIOD_OVERRIDE=FQ","FILING_STATUS=OR","SCALING_FORMAT=MLN","Sort=A","Dates=H","DateFormat=P","Fill=—","Direction=H","UseDPDF=Y")</f>
        <v>-60.012</v>
      </c>
      <c r="V28" s="16">
        <f>_xll.BDH("AMZN US Equity","CF_CASH_FROM_INV_ACT","FQ4 2003","FQ4 2003","Currency=USD","Period=FQ","BEST_FPERIOD_OVERRIDE=FQ","FILING_STATUS=OR","SCALING_FORMAT=MLN","Sort=A","Dates=H","DateFormat=P","Fill=—","Direction=H","UseDPDF=Y")</f>
        <v>93.489000000000004</v>
      </c>
      <c r="W28" s="16">
        <f>_xll.BDH("AMZN US Equity","CF_CASH_FROM_INV_ACT","FQ1 2004","FQ1 2004","Currency=USD","Period=FQ","BEST_FPERIOD_OVERRIDE=FQ","FILING_STATUS=OR","SCALING_FORMAT=MLN","Sort=A","Dates=H","DateFormat=P","Fill=—","Direction=H","UseDPDF=Y")</f>
        <v>55.576000000000001</v>
      </c>
      <c r="X28" s="16">
        <f>_xll.BDH("AMZN US Equity","CF_CASH_FROM_INV_ACT","FQ2 2004","FQ2 2004","Currency=USD","Period=FQ","BEST_FPERIOD_OVERRIDE=FQ","FILING_STATUS=OR","SCALING_FORMAT=MLN","Sort=A","Dates=H","DateFormat=P","Fill=—","Direction=H","UseDPDF=Y")</f>
        <v>-222.28899999999999</v>
      </c>
      <c r="Y28" s="16">
        <f>_xll.BDH("AMZN US Equity","CF_CASH_FROM_INV_ACT","FQ3 2004","FQ3 2004","Currency=USD","Period=FQ","BEST_FPERIOD_OVERRIDE=FQ","FILING_STATUS=OR","SCALING_FORMAT=MLN","Sort=A","Dates=H","DateFormat=P","Fill=—","Direction=H","UseDPDF=Y")</f>
        <v>-85.480999999999995</v>
      </c>
      <c r="Z28" s="16">
        <f>_xll.BDH("AMZN US Equity","CF_CASH_FROM_INV_ACT","FQ4 2004","FQ4 2004","Currency=USD","Period=FQ","BEST_FPERIOD_OVERRIDE=FQ","FILING_STATUS=OR","SCALING_FORMAT=MLN","Sort=A","Dates=H","DateFormat=P","Fill=—","Direction=H","UseDPDF=Y")</f>
        <v>-65.436999999999998</v>
      </c>
      <c r="AA28" s="16">
        <f>_xll.BDH("AMZN US Equity","CF_CASH_FROM_INV_ACT","FQ1 2005","FQ1 2005","Currency=USD","Period=FQ","BEST_FPERIOD_OVERRIDE=FQ","FILING_STATUS=OR","SCALING_FORMAT=MLN","Sort=A","Dates=H","DateFormat=P","Fill=—","Direction=H","UseDPDF=Y")</f>
        <v>-197</v>
      </c>
      <c r="AB28" s="16">
        <f>_xll.BDH("AMZN US Equity","CF_CASH_FROM_INV_ACT","FQ2 2005","FQ2 2005","Currency=USD","Period=FQ","BEST_FPERIOD_OVERRIDE=FQ","FILING_STATUS=OR","SCALING_FORMAT=MLN","Sort=A","Dates=H","DateFormat=P","Fill=—","Direction=H","UseDPDF=Y")</f>
        <v>-144</v>
      </c>
      <c r="AC28" s="16">
        <f>_xll.BDH("AMZN US Equity","CF_CASH_FROM_INV_ACT","FQ3 2005","FQ3 2005","Currency=USD","Period=FQ","BEST_FPERIOD_OVERRIDE=FQ","FILING_STATUS=OR","SCALING_FORMAT=MLN","Sort=A","Dates=H","DateFormat=P","Fill=—","Direction=H","UseDPDF=Y")</f>
        <v>-206</v>
      </c>
      <c r="AD28" s="16">
        <f>_xll.BDH("AMZN US Equity","CF_CASH_FROM_INV_ACT","FQ4 2005","FQ4 2005","Currency=USD","Period=FQ","BEST_FPERIOD_OVERRIDE=FQ","FILING_STATUS=OR","SCALING_FORMAT=MLN","Sort=A","Dates=H","DateFormat=P","Fill=—","Direction=H","UseDPDF=Y")</f>
        <v>-231</v>
      </c>
      <c r="AE28" s="16">
        <f>_xll.BDH("AMZN US Equity","CF_CASH_FROM_INV_ACT","FQ1 2006","FQ1 2006","Currency=USD","Period=FQ","BEST_FPERIOD_OVERRIDE=FQ","FILING_STATUS=OR","SCALING_FORMAT=MLN","Sort=A","Dates=H","DateFormat=P","Fill=—","Direction=H","UseDPDF=Y")</f>
        <v>84</v>
      </c>
      <c r="AF28" s="16">
        <f>_xll.BDH("AMZN US Equity","CF_CASH_FROM_INV_ACT","FQ2 2006","FQ2 2006","Currency=USD","Period=FQ","BEST_FPERIOD_OVERRIDE=FQ","FILING_STATUS=OR","SCALING_FORMAT=MLN","Sort=A","Dates=H","DateFormat=P","Fill=—","Direction=H","UseDPDF=Y")</f>
        <v>-41</v>
      </c>
      <c r="AG28" s="16">
        <f>_xll.BDH("AMZN US Equity","CF_CASH_FROM_INV_ACT","FQ3 2006","FQ3 2006","Currency=USD","Period=FQ","BEST_FPERIOD_OVERRIDE=FQ","FILING_STATUS=OR","SCALING_FORMAT=MLN","Sort=A","Dates=H","DateFormat=P","Fill=—","Direction=H","UseDPDF=Y")</f>
        <v>147</v>
      </c>
      <c r="AH28" s="16">
        <f>_xll.BDH("AMZN US Equity","CF_CASH_FROM_INV_ACT","FQ4 2006","FQ4 2006","Currency=USD","Period=FQ","BEST_FPERIOD_OVERRIDE=FQ","FILING_STATUS=OR","SCALING_FORMAT=MLN","Sort=A","Dates=H","DateFormat=P","Fill=—","Direction=H","UseDPDF=Y")</f>
        <v>-523</v>
      </c>
      <c r="AI28" s="16">
        <f>_xll.BDH("AMZN US Equity","CF_CASH_FROM_INV_ACT","FQ1 2007","FQ1 2007","Currency=USD","Period=FQ","BEST_FPERIOD_OVERRIDE=FQ","FILING_STATUS=OR","SCALING_FORMAT=MLN","Sort=A","Dates=H","DateFormat=P","Fill=—","Direction=H","UseDPDF=Y")</f>
        <v>235</v>
      </c>
      <c r="AJ28" s="16">
        <f>_xll.BDH("AMZN US Equity","CF_CASH_FROM_INV_ACT","FQ2 2007","FQ2 2007","Currency=USD","Period=FQ","BEST_FPERIOD_OVERRIDE=FQ","FILING_STATUS=OR","SCALING_FORMAT=MLN","Sort=A","Dates=H","DateFormat=P","Fill=—","Direction=H","UseDPDF=Y")</f>
        <v>-88</v>
      </c>
      <c r="AK28" s="16">
        <f>_xll.BDH("AMZN US Equity","CF_CASH_FROM_INV_ACT","FQ3 2007","FQ3 2007","Currency=USD","Period=FQ","BEST_FPERIOD_OVERRIDE=FQ","FILING_STATUS=OR","SCALING_FORMAT=MLN","Sort=A","Dates=H","DateFormat=P","Fill=—","Direction=H","UseDPDF=Y")</f>
        <v>34</v>
      </c>
      <c r="AL28" s="16">
        <f>_xll.BDH("AMZN US Equity","CF_CASH_FROM_INV_ACT","FQ4 2007","FQ4 2007","Currency=USD","Period=FQ","BEST_FPERIOD_OVERRIDE=FQ","FILING_STATUS=OR","SCALING_FORMAT=MLN","Sort=A","Dates=H","DateFormat=P","Fill=—","Direction=H","UseDPDF=Y")</f>
        <v>-140</v>
      </c>
      <c r="AM28" s="16">
        <f>_xll.BDH("AMZN US Equity","CF_CASH_FROM_INV_ACT","FQ1 2008","FQ1 2008","Currency=USD","Period=FQ","BEST_FPERIOD_OVERRIDE=FQ","FILING_STATUS=OR","SCALING_FORMAT=MLN","Sort=A","Dates=H","DateFormat=P","Fill=—","Direction=H","UseDPDF=Y")</f>
        <v>-527</v>
      </c>
      <c r="AN28" s="16">
        <f>_xll.BDH("AMZN US Equity","CF_CASH_FROM_INV_ACT","FQ2 2008","FQ2 2008","Currency=USD","Period=FQ","BEST_FPERIOD_OVERRIDE=FQ","FILING_STATUS=OR","SCALING_FORMAT=MLN","Sort=A","Dates=H","DateFormat=P","Fill=—","Direction=H","UseDPDF=Y")</f>
        <v>-301</v>
      </c>
      <c r="AO28" s="16">
        <f>_xll.BDH("AMZN US Equity","CF_CASH_FROM_INV_ACT","FQ3 2008","FQ3 2008","Currency=USD","Period=FQ","BEST_FPERIOD_OVERRIDE=FQ","FILING_STATUS=OR","SCALING_FORMAT=MLN","Sort=A","Dates=H","DateFormat=P","Fill=—","Direction=H","UseDPDF=Y")</f>
        <v>-6</v>
      </c>
      <c r="AP28" s="16">
        <f>_xll.BDH("AMZN US Equity","CF_CASH_FROM_INV_ACT","FQ4 2008","FQ4 2008","Currency=USD","Period=FQ","BEST_FPERIOD_OVERRIDE=FQ","FILING_STATUS=OR","SCALING_FORMAT=MLN","Sort=A","Dates=H","DateFormat=P","Fill=—","Direction=H","UseDPDF=Y")</f>
        <v>-365</v>
      </c>
    </row>
    <row r="29" spans="1:42" x14ac:dyDescent="0.25">
      <c r="A29" s="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x14ac:dyDescent="0.25">
      <c r="A30" s="6" t="s">
        <v>340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x14ac:dyDescent="0.25">
      <c r="A31" s="10" t="s">
        <v>341</v>
      </c>
      <c r="B31" s="10" t="s">
        <v>342</v>
      </c>
      <c r="C31" s="13">
        <f>_xll.BDH("AMZN US Equity","CF_DVD_PAID","FQ1 1999","FQ1 1999","Currency=USD","Period=FQ","BEST_FPERIOD_OVERRIDE=FQ","FILING_STATUS=OR","SCALING_FORMAT=MLN","Sort=A","Dates=H","DateFormat=P","Fill=—","Direction=H","UseDPDF=Y")</f>
        <v>0</v>
      </c>
      <c r="D31" s="13">
        <f>_xll.BDH("AMZN US Equity","CF_DVD_PAID","FQ2 1999","FQ2 1999","Currency=USD","Period=FQ","BEST_FPERIOD_OVERRIDE=FQ","FILING_STATUS=OR","SCALING_FORMAT=MLN","Sort=A","Dates=H","DateFormat=P","Fill=—","Direction=H","UseDPDF=Y")</f>
        <v>0</v>
      </c>
      <c r="E31" s="13">
        <f>_xll.BDH("AMZN US Equity","CF_DVD_PAID","FQ3 1999","FQ3 1999","Currency=USD","Period=FQ","BEST_FPERIOD_OVERRIDE=FQ","FILING_STATUS=OR","SCALING_FORMAT=MLN","Sort=A","Dates=H","DateFormat=P","Fill=—","Direction=H","UseDPDF=Y")</f>
        <v>0</v>
      </c>
      <c r="F31" s="13">
        <f>_xll.BDH("AMZN US Equity","CF_DVD_PAID","FQ4 1999","FQ4 1999","Currency=USD","Period=FQ","BEST_FPERIOD_OVERRIDE=FQ","FILING_STATUS=OR","SCALING_FORMAT=MLN","Sort=A","Dates=H","DateFormat=P","Fill=—","Direction=H","UseDPDF=Y")</f>
        <v>0</v>
      </c>
      <c r="G31" s="13">
        <f>_xll.BDH("AMZN US Equity","CF_DVD_PAID","FQ1 2000","FQ1 2000","Currency=USD","Period=FQ","BEST_FPERIOD_OVERRIDE=FQ","FILING_STATUS=OR","SCALING_FORMAT=MLN","Sort=A","Dates=H","DateFormat=P","Fill=—","Direction=H","UseDPDF=Y")</f>
        <v>0</v>
      </c>
      <c r="H31" s="13">
        <f>_xll.BDH("AMZN US Equity","CF_DVD_PAID","FQ2 2000","FQ2 2000","Currency=USD","Period=FQ","BEST_FPERIOD_OVERRIDE=FQ","FILING_STATUS=OR","SCALING_FORMAT=MLN","Sort=A","Dates=H","DateFormat=P","Fill=—","Direction=H","UseDPDF=Y")</f>
        <v>0</v>
      </c>
      <c r="I31" s="13">
        <f>_xll.BDH("AMZN US Equity","CF_DVD_PAID","FQ3 2000","FQ3 2000","Currency=USD","Period=FQ","BEST_FPERIOD_OVERRIDE=FQ","FILING_STATUS=OR","SCALING_FORMAT=MLN","Sort=A","Dates=H","DateFormat=P","Fill=—","Direction=H","UseDPDF=Y")</f>
        <v>0</v>
      </c>
      <c r="J31" s="13">
        <f>_xll.BDH("AMZN US Equity","CF_DVD_PAID","FQ4 2000","FQ4 2000","Currency=USD","Period=FQ","BEST_FPERIOD_OVERRIDE=FQ","FILING_STATUS=OR","SCALING_FORMAT=MLN","Sort=A","Dates=H","DateFormat=P","Fill=—","Direction=H","UseDPDF=Y")</f>
        <v>0</v>
      </c>
      <c r="K31" s="13">
        <f>_xll.BDH("AMZN US Equity","CF_DVD_PAID","FQ1 2001","FQ1 2001","Currency=USD","Period=FQ","BEST_FPERIOD_OVERRIDE=FQ","FILING_STATUS=OR","SCALING_FORMAT=MLN","Sort=A","Dates=H","DateFormat=P","Fill=—","Direction=H","UseDPDF=Y")</f>
        <v>0</v>
      </c>
      <c r="L31" s="13">
        <f>_xll.BDH("AMZN US Equity","CF_DVD_PAID","FQ2 2001","FQ2 2001","Currency=USD","Period=FQ","BEST_FPERIOD_OVERRIDE=FQ","FILING_STATUS=OR","SCALING_FORMAT=MLN","Sort=A","Dates=H","DateFormat=P","Fill=—","Direction=H","UseDPDF=Y")</f>
        <v>0</v>
      </c>
      <c r="M31" s="13">
        <f>_xll.BDH("AMZN US Equity","CF_DVD_PAID","FQ3 2001","FQ3 2001","Currency=USD","Period=FQ","BEST_FPERIOD_OVERRIDE=FQ","FILING_STATUS=OR","SCALING_FORMAT=MLN","Sort=A","Dates=H","DateFormat=P","Fill=—","Direction=H","UseDPDF=Y")</f>
        <v>0</v>
      </c>
      <c r="N31" s="13">
        <f>_xll.BDH("AMZN US Equity","CF_DVD_PAID","FQ4 2001","FQ4 2001","Currency=USD","Period=FQ","BEST_FPERIOD_OVERRIDE=FQ","FILING_STATUS=OR","SCALING_FORMAT=MLN","Sort=A","Dates=H","DateFormat=P","Fill=—","Direction=H","UseDPDF=Y")</f>
        <v>0</v>
      </c>
      <c r="O31" s="13">
        <f>_xll.BDH("AMZN US Equity","CF_DVD_PAID","FQ1 2002","FQ1 2002","Currency=USD","Period=FQ","BEST_FPERIOD_OVERRIDE=FQ","FILING_STATUS=OR","SCALING_FORMAT=MLN","Sort=A","Dates=H","DateFormat=P","Fill=—","Direction=H","UseDPDF=Y")</f>
        <v>0</v>
      </c>
      <c r="P31" s="13">
        <f>_xll.BDH("AMZN US Equity","CF_DVD_PAID","FQ2 2002","FQ2 2002","Currency=USD","Period=FQ","BEST_FPERIOD_OVERRIDE=FQ","FILING_STATUS=OR","SCALING_FORMAT=MLN","Sort=A","Dates=H","DateFormat=P","Fill=—","Direction=H","UseDPDF=Y")</f>
        <v>0</v>
      </c>
      <c r="Q31" s="13">
        <f>_xll.BDH("AMZN US Equity","CF_DVD_PAID","FQ3 2002","FQ3 2002","Currency=USD","Period=FQ","BEST_FPERIOD_OVERRIDE=FQ","FILING_STATUS=OR","SCALING_FORMAT=MLN","Sort=A","Dates=H","DateFormat=P","Fill=—","Direction=H","UseDPDF=Y")</f>
        <v>0</v>
      </c>
      <c r="R31" s="13">
        <f>_xll.BDH("AMZN US Equity","CF_DVD_PAID","FQ4 2002","FQ4 2002","Currency=USD","Period=FQ","BEST_FPERIOD_OVERRIDE=FQ","FILING_STATUS=OR","SCALING_FORMAT=MLN","Sort=A","Dates=H","DateFormat=P","Fill=—","Direction=H","UseDPDF=Y")</f>
        <v>0</v>
      </c>
      <c r="S31" s="13">
        <f>_xll.BDH("AMZN US Equity","CF_DVD_PAID","FQ1 2003","FQ1 2003","Currency=USD","Period=FQ","BEST_FPERIOD_OVERRIDE=FQ","FILING_STATUS=OR","SCALING_FORMAT=MLN","Sort=A","Dates=H","DateFormat=P","Fill=—","Direction=H","UseDPDF=Y")</f>
        <v>0</v>
      </c>
      <c r="T31" s="13">
        <f>_xll.BDH("AMZN US Equity","CF_DVD_PAID","FQ2 2003","FQ2 2003","Currency=USD","Period=FQ","BEST_FPERIOD_OVERRIDE=FQ","FILING_STATUS=OR","SCALING_FORMAT=MLN","Sort=A","Dates=H","DateFormat=P","Fill=—","Direction=H","UseDPDF=Y")</f>
        <v>0</v>
      </c>
      <c r="U31" s="13">
        <f>_xll.BDH("AMZN US Equity","CF_DVD_PAID","FQ3 2003","FQ3 2003","Currency=USD","Period=FQ","BEST_FPERIOD_OVERRIDE=FQ","FILING_STATUS=OR","SCALING_FORMAT=MLN","Sort=A","Dates=H","DateFormat=P","Fill=—","Direction=H","UseDPDF=Y")</f>
        <v>0</v>
      </c>
      <c r="V31" s="13">
        <f>_xll.BDH("AMZN US Equity","CF_DVD_PAID","FQ4 2003","FQ4 2003","Currency=USD","Period=FQ","BEST_FPERIOD_OVERRIDE=FQ","FILING_STATUS=OR","SCALING_FORMAT=MLN","Sort=A","Dates=H","DateFormat=P","Fill=—","Direction=H","UseDPDF=Y")</f>
        <v>0</v>
      </c>
      <c r="W31" s="13">
        <f>_xll.BDH("AMZN US Equity","CF_DVD_PAID","FQ1 2004","FQ1 2004","Currency=USD","Period=FQ","BEST_FPERIOD_OVERRIDE=FQ","FILING_STATUS=OR","SCALING_FORMAT=MLN","Sort=A","Dates=H","DateFormat=P","Fill=—","Direction=H","UseDPDF=Y")</f>
        <v>0</v>
      </c>
      <c r="X31" s="13">
        <f>_xll.BDH("AMZN US Equity","CF_DVD_PAID","FQ2 2004","FQ2 2004","Currency=USD","Period=FQ","BEST_FPERIOD_OVERRIDE=FQ","FILING_STATUS=OR","SCALING_FORMAT=MLN","Sort=A","Dates=H","DateFormat=P","Fill=—","Direction=H","UseDPDF=Y")</f>
        <v>0</v>
      </c>
      <c r="Y31" s="13">
        <f>_xll.BDH("AMZN US Equity","CF_DVD_PAID","FQ3 2004","FQ3 2004","Currency=USD","Period=FQ","BEST_FPERIOD_OVERRIDE=FQ","FILING_STATUS=OR","SCALING_FORMAT=MLN","Sort=A","Dates=H","DateFormat=P","Fill=—","Direction=H","UseDPDF=Y")</f>
        <v>0</v>
      </c>
      <c r="Z31" s="13">
        <f>_xll.BDH("AMZN US Equity","CF_DVD_PAID","FQ4 2004","FQ4 2004","Currency=USD","Period=FQ","BEST_FPERIOD_OVERRIDE=FQ","FILING_STATUS=OR","SCALING_FORMAT=MLN","Sort=A","Dates=H","DateFormat=P","Fill=—","Direction=H","UseDPDF=Y")</f>
        <v>0</v>
      </c>
      <c r="AA31" s="13">
        <f>_xll.BDH("AMZN US Equity","CF_DVD_PAID","FQ1 2005","FQ1 2005","Currency=USD","Period=FQ","BEST_FPERIOD_OVERRIDE=FQ","FILING_STATUS=OR","SCALING_FORMAT=MLN","Sort=A","Dates=H","DateFormat=P","Fill=—","Direction=H","UseDPDF=Y")</f>
        <v>0</v>
      </c>
      <c r="AB31" s="13">
        <f>_xll.BDH("AMZN US Equity","CF_DVD_PAID","FQ2 2005","FQ2 2005","Currency=USD","Period=FQ","BEST_FPERIOD_OVERRIDE=FQ","FILING_STATUS=OR","SCALING_FORMAT=MLN","Sort=A","Dates=H","DateFormat=P","Fill=—","Direction=H","UseDPDF=Y")</f>
        <v>0</v>
      </c>
      <c r="AC31" s="13">
        <f>_xll.BDH("AMZN US Equity","CF_DVD_PAID","FQ3 2005","FQ3 2005","Currency=USD","Period=FQ","BEST_FPERIOD_OVERRIDE=FQ","FILING_STATUS=OR","SCALING_FORMAT=MLN","Sort=A","Dates=H","DateFormat=P","Fill=—","Direction=H","UseDPDF=Y")</f>
        <v>0</v>
      </c>
      <c r="AD31" s="13">
        <f>_xll.BDH("AMZN US Equity","CF_DVD_PAID","FQ4 2005","FQ4 2005","Currency=USD","Period=FQ","BEST_FPERIOD_OVERRIDE=FQ","FILING_STATUS=OR","SCALING_FORMAT=MLN","Sort=A","Dates=H","DateFormat=P","Fill=—","Direction=H","UseDPDF=Y")</f>
        <v>0</v>
      </c>
      <c r="AE31" s="13">
        <f>_xll.BDH("AMZN US Equity","CF_DVD_PAID","FQ1 2006","FQ1 2006","Currency=USD","Period=FQ","BEST_FPERIOD_OVERRIDE=FQ","FILING_STATUS=OR","SCALING_FORMAT=MLN","Sort=A","Dates=H","DateFormat=P","Fill=—","Direction=H","UseDPDF=Y")</f>
        <v>0</v>
      </c>
      <c r="AF31" s="13">
        <f>_xll.BDH("AMZN US Equity","CF_DVD_PAID","FQ2 2006","FQ2 2006","Currency=USD","Period=FQ","BEST_FPERIOD_OVERRIDE=FQ","FILING_STATUS=OR","SCALING_FORMAT=MLN","Sort=A","Dates=H","DateFormat=P","Fill=—","Direction=H","UseDPDF=Y")</f>
        <v>0</v>
      </c>
      <c r="AG31" s="13">
        <f>_xll.BDH("AMZN US Equity","CF_DVD_PAID","FQ3 2006","FQ3 2006","Currency=USD","Period=FQ","BEST_FPERIOD_OVERRIDE=FQ","FILING_STATUS=OR","SCALING_FORMAT=MLN","Sort=A","Dates=H","DateFormat=P","Fill=—","Direction=H","UseDPDF=Y")</f>
        <v>0</v>
      </c>
      <c r="AH31" s="13">
        <f>_xll.BDH("AMZN US Equity","CF_DVD_PAID","FQ4 2006","FQ4 2006","Currency=USD","Period=FQ","BEST_FPERIOD_OVERRIDE=FQ","FILING_STATUS=OR","SCALING_FORMAT=MLN","Sort=A","Dates=H","DateFormat=P","Fill=—","Direction=H","UseDPDF=Y")</f>
        <v>0</v>
      </c>
      <c r="AI31" s="13">
        <f>_xll.BDH("AMZN US Equity","CF_DVD_PAID","FQ1 2007","FQ1 2007","Currency=USD","Period=FQ","BEST_FPERIOD_OVERRIDE=FQ","FILING_STATUS=OR","SCALING_FORMAT=MLN","Sort=A","Dates=H","DateFormat=P","Fill=—","Direction=H","UseDPDF=Y")</f>
        <v>0</v>
      </c>
      <c r="AJ31" s="13">
        <f>_xll.BDH("AMZN US Equity","CF_DVD_PAID","FQ2 2007","FQ2 2007","Currency=USD","Period=FQ","BEST_FPERIOD_OVERRIDE=FQ","FILING_STATUS=OR","SCALING_FORMAT=MLN","Sort=A","Dates=H","DateFormat=P","Fill=—","Direction=H","UseDPDF=Y")</f>
        <v>0</v>
      </c>
      <c r="AK31" s="13">
        <f>_xll.BDH("AMZN US Equity","CF_DVD_PAID","FQ3 2007","FQ3 2007","Currency=USD","Period=FQ","BEST_FPERIOD_OVERRIDE=FQ","FILING_STATUS=OR","SCALING_FORMAT=MLN","Sort=A","Dates=H","DateFormat=P","Fill=—","Direction=H","UseDPDF=Y")</f>
        <v>0</v>
      </c>
      <c r="AL31" s="13">
        <f>_xll.BDH("AMZN US Equity","CF_DVD_PAID","FQ4 2007","FQ4 2007","Currency=USD","Period=FQ","BEST_FPERIOD_OVERRIDE=FQ","FILING_STATUS=OR","SCALING_FORMAT=MLN","Sort=A","Dates=H","DateFormat=P","Fill=—","Direction=H","UseDPDF=Y")</f>
        <v>0</v>
      </c>
      <c r="AM31" s="13">
        <f>_xll.BDH("AMZN US Equity","CF_DVD_PAID","FQ1 2008","FQ1 2008","Currency=USD","Period=FQ","BEST_FPERIOD_OVERRIDE=FQ","FILING_STATUS=OR","SCALING_FORMAT=MLN","Sort=A","Dates=H","DateFormat=P","Fill=—","Direction=H","UseDPDF=Y")</f>
        <v>0</v>
      </c>
      <c r="AN31" s="13">
        <f>_xll.BDH("AMZN US Equity","CF_DVD_PAID","FQ2 2008","FQ2 2008","Currency=USD","Period=FQ","BEST_FPERIOD_OVERRIDE=FQ","FILING_STATUS=OR","SCALING_FORMAT=MLN","Sort=A","Dates=H","DateFormat=P","Fill=—","Direction=H","UseDPDF=Y")</f>
        <v>0</v>
      </c>
      <c r="AO31" s="13">
        <f>_xll.BDH("AMZN US Equity","CF_DVD_PAID","FQ3 2008","FQ3 2008","Currency=USD","Period=FQ","BEST_FPERIOD_OVERRIDE=FQ","FILING_STATUS=OR","SCALING_FORMAT=MLN","Sort=A","Dates=H","DateFormat=P","Fill=—","Direction=H","UseDPDF=Y")</f>
        <v>0</v>
      </c>
      <c r="AP31" s="13">
        <f>_xll.BDH("AMZN US Equity","CF_DVD_PAID","FQ4 2008","FQ4 2008","Currency=USD","Period=FQ","BEST_FPERIOD_OVERRIDE=FQ","FILING_STATUS=OR","SCALING_FORMAT=MLN","Sort=A","Dates=H","DateFormat=P","Fill=—","Direction=H","UseDPDF=Y")</f>
        <v>0</v>
      </c>
    </row>
    <row r="32" spans="1:42" x14ac:dyDescent="0.25">
      <c r="A32" s="10" t="s">
        <v>343</v>
      </c>
      <c r="B32" s="10" t="s">
        <v>344</v>
      </c>
      <c r="C32" s="13">
        <f>_xll.BDH("AMZN US Equity","PROC_FR_REPAYMNTS_BOR_DETAILED","FQ1 1999","FQ1 1999","Currency=USD","Period=FQ","BEST_FPERIOD_OVERRIDE=FQ","FILING_STATUS=OR","SCALING_FORMAT=MLN","Sort=A","Dates=H","DateFormat=P","Fill=—","Direction=H","UseDPDF=Y")</f>
        <v>1168.751</v>
      </c>
      <c r="D32" s="13">
        <f>_xll.BDH("AMZN US Equity","PROC_FR_REPAYMNTS_BOR_DETAILED","FQ2 1999","FQ2 1999","Currency=USD","Period=FQ","BEST_FPERIOD_OVERRIDE=FQ","FILING_STATUS=OR","SCALING_FORMAT=MLN","Sort=A","Dates=H","DateFormat=P","Fill=—","Direction=H","UseDPDF=Y")</f>
        <v>-101.23</v>
      </c>
      <c r="E32" s="13">
        <f>_xll.BDH("AMZN US Equity","PROC_FR_REPAYMNTS_BOR_DETAILED","FQ3 1999","FQ3 1999","Currency=USD","Period=FQ","BEST_FPERIOD_OVERRIDE=FQ","FILING_STATUS=OR","SCALING_FORMAT=MLN","Sort=A","Dates=H","DateFormat=P","Fill=—","Direction=H","UseDPDF=Y")</f>
        <v>8.4079999999999995</v>
      </c>
      <c r="F32" s="13">
        <f>_xll.BDH("AMZN US Equity","PROC_FR_REPAYMNTS_BOR_DETAILED","FQ4 1999","FQ4 1999","Currency=USD","Period=FQ","BEST_FPERIOD_OVERRIDE=FQ","FILING_STATUS=OR","SCALING_FORMAT=MLN","Sort=A","Dates=H","DateFormat=P","Fill=—","Direction=H","UseDPDF=Y")</f>
        <v>-1.1759999999999999</v>
      </c>
      <c r="G32" s="13">
        <f>_xll.BDH("AMZN US Equity","PROC_FR_REPAYMNTS_BOR_DETAILED","FQ1 2000","FQ1 2000","Currency=USD","Period=FQ","BEST_FPERIOD_OVERRIDE=FQ","FILING_STATUS=OR","SCALING_FORMAT=MLN","Sort=A","Dates=H","DateFormat=P","Fill=—","Direction=H","UseDPDF=Y")</f>
        <v>675.351</v>
      </c>
      <c r="H32" s="13">
        <f>_xll.BDH("AMZN US Equity","PROC_FR_REPAYMNTS_BOR_DETAILED","FQ2 2000","FQ2 2000","Currency=USD","Period=FQ","BEST_FPERIOD_OVERRIDE=FQ","FILING_STATUS=OR","SCALING_FORMAT=MLN","Sort=A","Dates=H","DateFormat=P","Fill=—","Direction=H","UseDPDF=Y")</f>
        <v>-3.5720000000000001</v>
      </c>
      <c r="I32" s="13">
        <f>_xll.BDH("AMZN US Equity","PROC_FR_REPAYMNTS_BOR_DETAILED","FQ3 2000","FQ3 2000","Currency=USD","Period=FQ","BEST_FPERIOD_OVERRIDE=FQ","FILING_STATUS=OR","SCALING_FORMAT=MLN","Sort=A","Dates=H","DateFormat=P","Fill=—","Direction=H","UseDPDF=Y")</f>
        <v>-3.2770000000000001</v>
      </c>
      <c r="J32" s="13">
        <f>_xll.BDH("AMZN US Equity","PROC_FR_REPAYMNTS_BOR_DETAILED","FQ4 2000","FQ4 2000","Currency=USD","Period=FQ","BEST_FPERIOD_OVERRIDE=FQ","FILING_STATUS=OR","SCALING_FORMAT=MLN","Sort=A","Dates=H","DateFormat=P","Fill=—","Direction=H","UseDPDF=Y")</f>
        <v>-3.93</v>
      </c>
      <c r="K32" s="13">
        <f>_xll.BDH("AMZN US Equity","PROC_FR_REPAYMNTS_BOR_DETAILED","FQ1 2001","FQ1 2001","Currency=USD","Period=FQ","BEST_FPERIOD_OVERRIDE=FQ","FILING_STATUS=OR","SCALING_FORMAT=MLN","Sort=A","Dates=H","DateFormat=P","Fill=—","Direction=H","UseDPDF=Y")</f>
        <v>5.4249999999999998</v>
      </c>
      <c r="L32" s="13">
        <f>_xll.BDH("AMZN US Equity","PROC_FR_REPAYMNTS_BOR_DETAILED","FQ2 2001","FQ2 2001","Currency=USD","Period=FQ","BEST_FPERIOD_OVERRIDE=FQ","FILING_STATUS=OR","SCALING_FORMAT=MLN","Sort=A","Dates=H","DateFormat=P","Fill=—","Direction=H","UseDPDF=Y")</f>
        <v>-4.0940000000000003</v>
      </c>
      <c r="M32" s="13">
        <f>_xll.BDH("AMZN US Equity","PROC_FR_REPAYMNTS_BOR_DETAILED","FQ3 2001","FQ3 2001","Currency=USD","Period=FQ","BEST_FPERIOD_OVERRIDE=FQ","FILING_STATUS=OR","SCALING_FORMAT=MLN","Sort=A","Dates=H","DateFormat=P","Fill=—","Direction=H","UseDPDF=Y")</f>
        <v>-6.4660000000000002</v>
      </c>
      <c r="N32" s="13">
        <f>_xll.BDH("AMZN US Equity","PROC_FR_REPAYMNTS_BOR_DETAILED","FQ4 2001","FQ4 2001","Currency=USD","Period=FQ","BEST_FPERIOD_OVERRIDE=FQ","FILING_STATUS=OR","SCALING_FORMAT=MLN","Sort=A","Dates=H","DateFormat=P","Fill=—","Direction=H","UseDPDF=Y")</f>
        <v>-4.4400000000000004</v>
      </c>
      <c r="O32" s="13">
        <f>_xll.BDH("AMZN US Equity","PROC_FR_REPAYMNTS_BOR_DETAILED","FQ1 2002","FQ1 2002","Currency=USD","Period=FQ","BEST_FPERIOD_OVERRIDE=FQ","FILING_STATUS=OR","SCALING_FORMAT=MLN","Sort=A","Dates=H","DateFormat=P","Fill=—","Direction=H","UseDPDF=Y")</f>
        <v>-4.5629999999999997</v>
      </c>
      <c r="P32" s="13">
        <f>_xll.BDH("AMZN US Equity","PROC_FR_REPAYMNTS_BOR_DETAILED","FQ2 2002","FQ2 2002","Currency=USD","Period=FQ","BEST_FPERIOD_OVERRIDE=FQ","FILING_STATUS=OR","SCALING_FORMAT=MLN","Sort=A","Dates=H","DateFormat=P","Fill=—","Direction=H","UseDPDF=Y")</f>
        <v>-3.4319999999999999</v>
      </c>
      <c r="Q32" s="13">
        <f>_xll.BDH("AMZN US Equity","PROC_FR_REPAYMNTS_BOR_DETAILED","FQ3 2002","FQ3 2002","Currency=USD","Period=FQ","BEST_FPERIOD_OVERRIDE=FQ","FILING_STATUS=OR","SCALING_FORMAT=MLN","Sort=A","Dates=H","DateFormat=P","Fill=—","Direction=H","UseDPDF=Y")</f>
        <v>-4.1260000000000003</v>
      </c>
      <c r="R32" s="13">
        <f>_xll.BDH("AMZN US Equity","PROC_FR_REPAYMNTS_BOR_DETAILED","FQ4 2002","FQ4 2002","Currency=USD","Period=FQ","BEST_FPERIOD_OVERRIDE=FQ","FILING_STATUS=OR","SCALING_FORMAT=MLN","Sort=A","Dates=H","DateFormat=P","Fill=—","Direction=H","UseDPDF=Y")</f>
        <v>-2.6739999999999999</v>
      </c>
      <c r="S32" s="13">
        <f>_xll.BDH("AMZN US Equity","PROC_FR_REPAYMNTS_BOR_DETAILED","FQ1 2003","FQ1 2003","Currency=USD","Period=FQ","BEST_FPERIOD_OVERRIDE=FQ","FILING_STATUS=OR","SCALING_FORMAT=MLN","Sort=A","Dates=H","DateFormat=P","Fill=—","Direction=H","UseDPDF=Y")</f>
        <v>-3.2210000000000001</v>
      </c>
      <c r="T32" s="13">
        <f>_xll.BDH("AMZN US Equity","PROC_FR_REPAYMNTS_BOR_DETAILED","FQ2 2003","FQ2 2003","Currency=USD","Period=FQ","BEST_FPERIOD_OVERRIDE=FQ","FILING_STATUS=OR","SCALING_FORMAT=MLN","Sort=A","Dates=H","DateFormat=P","Fill=—","Direction=H","UseDPDF=Y")</f>
        <v>-280.91800000000001</v>
      </c>
      <c r="U32" s="13">
        <f>_xll.BDH("AMZN US Equity","PROC_FR_REPAYMNTS_BOR_DETAILED","FQ3 2003","FQ3 2003","Currency=USD","Period=FQ","BEST_FPERIOD_OVERRIDE=FQ","FILING_STATUS=OR","SCALING_FORMAT=MLN","Sort=A","Dates=H","DateFormat=P","Fill=—","Direction=H","UseDPDF=Y")</f>
        <v>-3.4369999999999998</v>
      </c>
      <c r="V32" s="13">
        <f>_xll.BDH("AMZN US Equity","PROC_FR_REPAYMNTS_BOR_DETAILED","FQ4 2003","FQ4 2003","Currency=USD","Period=FQ","BEST_FPERIOD_OVERRIDE=FQ","FILING_STATUS=OR","SCALING_FORMAT=MLN","Sort=A","Dates=H","DateFormat=P","Fill=—","Direction=H","UseDPDF=Y")</f>
        <v>-207.732</v>
      </c>
      <c r="W32" s="13">
        <f>_xll.BDH("AMZN US Equity","PROC_FR_REPAYMNTS_BOR_DETAILED","FQ1 2004","FQ1 2004","Currency=USD","Period=FQ","BEST_FPERIOD_OVERRIDE=FQ","FILING_STATUS=OR","SCALING_FORMAT=MLN","Sort=A","Dates=H","DateFormat=P","Fill=—","Direction=H","UseDPDF=Y")</f>
        <v>-155.64699999999999</v>
      </c>
      <c r="X32" s="13">
        <f>_xll.BDH("AMZN US Equity","PROC_FR_REPAYMNTS_BOR_DETAILED","FQ2 2004","FQ2 2004","Currency=USD","Period=FQ","BEST_FPERIOD_OVERRIDE=FQ","FILING_STATUS=OR","SCALING_FORMAT=MLN","Sort=A","Dates=H","DateFormat=P","Fill=—","Direction=H","UseDPDF=Y")</f>
        <v>-0.64500000000000002</v>
      </c>
      <c r="Y32" s="13">
        <f>_xll.BDH("AMZN US Equity","PROC_FR_REPAYMNTS_BOR_DETAILED","FQ3 2004","FQ3 2004","Currency=USD","Period=FQ","BEST_FPERIOD_OVERRIDE=FQ","FILING_STATUS=OR","SCALING_FORMAT=MLN","Sort=A","Dates=H","DateFormat=P","Fill=—","Direction=H","UseDPDF=Y")</f>
        <v>-0.55000000000000004</v>
      </c>
      <c r="Z32" s="13">
        <f>_xll.BDH("AMZN US Equity","PROC_FR_REPAYMNTS_BOR_DETAILED","FQ4 2004","FQ4 2004","Currency=USD","Period=FQ","BEST_FPERIOD_OVERRIDE=FQ","FILING_STATUS=OR","SCALING_FORMAT=MLN","Sort=A","Dates=H","DateFormat=P","Fill=—","Direction=H","UseDPDF=Y")</f>
        <v>-0.55900000000000005</v>
      </c>
      <c r="AA32" s="13">
        <f>_xll.BDH("AMZN US Equity","PROC_FR_REPAYMNTS_BOR_DETAILED","FQ1 2005","FQ1 2005","Currency=USD","Period=FQ","BEST_FPERIOD_OVERRIDE=FQ","FILING_STATUS=OR","SCALING_FORMAT=MLN","Sort=A","Dates=H","DateFormat=P","Fill=—","Direction=H","UseDPDF=Y")</f>
        <v>-265</v>
      </c>
      <c r="AB32" s="13">
        <f>_xll.BDH("AMZN US Equity","PROC_FR_REPAYMNTS_BOR_DETAILED","FQ2 2005","FQ2 2005","Currency=USD","Period=FQ","BEST_FPERIOD_OVERRIDE=FQ","FILING_STATUS=OR","SCALING_FORMAT=MLN","Sort=A","Dates=H","DateFormat=P","Fill=—","Direction=H","UseDPDF=Y")</f>
        <v>0</v>
      </c>
      <c r="AC32" s="13">
        <f>_xll.BDH("AMZN US Equity","PROC_FR_REPAYMNTS_BOR_DETAILED","FQ3 2005","FQ3 2005","Currency=USD","Period=FQ","BEST_FPERIOD_OVERRIDE=FQ","FILING_STATUS=OR","SCALING_FORMAT=MLN","Sort=A","Dates=H","DateFormat=P","Fill=—","Direction=H","UseDPDF=Y")</f>
        <v>7</v>
      </c>
      <c r="AD32" s="13">
        <f>_xll.BDH("AMZN US Equity","PROC_FR_REPAYMNTS_BOR_DETAILED","FQ4 2005","FQ4 2005","Currency=USD","Period=FQ","BEST_FPERIOD_OVERRIDE=FQ","FILING_STATUS=OR","SCALING_FORMAT=MLN","Sort=A","Dates=H","DateFormat=P","Fill=—","Direction=H","UseDPDF=Y")</f>
        <v>1</v>
      </c>
      <c r="AE32" s="13">
        <f>_xll.BDH("AMZN US Equity","PROC_FR_REPAYMNTS_BOR_DETAILED","FQ1 2006","FQ1 2006","Currency=USD","Period=FQ","BEST_FPERIOD_OVERRIDE=FQ","FILING_STATUS=OR","SCALING_FORMAT=MLN","Sort=A","Dates=H","DateFormat=P","Fill=—","Direction=H","UseDPDF=Y")</f>
        <v>-310</v>
      </c>
      <c r="AF32" s="13">
        <f>_xll.BDH("AMZN US Equity","PROC_FR_REPAYMNTS_BOR_DETAILED","FQ2 2006","FQ2 2006","Currency=USD","Period=FQ","BEST_FPERIOD_OVERRIDE=FQ","FILING_STATUS=OR","SCALING_FORMAT=MLN","Sort=A","Dates=H","DateFormat=P","Fill=—","Direction=H","UseDPDF=Y")</f>
        <v>45</v>
      </c>
      <c r="AG32" s="13">
        <f>_xll.BDH("AMZN US Equity","PROC_FR_REPAYMNTS_BOR_DETAILED","FQ3 2006","FQ3 2006","Currency=USD","Period=FQ","BEST_FPERIOD_OVERRIDE=FQ","FILING_STATUS=OR","SCALING_FORMAT=MLN","Sort=A","Dates=H","DateFormat=P","Fill=—","Direction=H","UseDPDF=Y")</f>
        <v>-29</v>
      </c>
      <c r="AH32" s="13">
        <f>_xll.BDH("AMZN US Equity","PROC_FR_REPAYMNTS_BOR_DETAILED","FQ4 2006","FQ4 2006","Currency=USD","Period=FQ","BEST_FPERIOD_OVERRIDE=FQ","FILING_STATUS=OR","SCALING_FORMAT=MLN","Sort=A","Dates=H","DateFormat=P","Fill=—","Direction=H","UseDPDF=Y")</f>
        <v>9</v>
      </c>
      <c r="AI32" s="13">
        <f>_xll.BDH("AMZN US Equity","PROC_FR_REPAYMNTS_BOR_DETAILED","FQ1 2007","FQ1 2007","Currency=USD","Period=FQ","BEST_FPERIOD_OVERRIDE=FQ","FILING_STATUS=OR","SCALING_FORMAT=MLN","Sort=A","Dates=H","DateFormat=P","Fill=—","Direction=H","UseDPDF=Y")</f>
        <v>-17</v>
      </c>
      <c r="AJ32" s="13">
        <f>_xll.BDH("AMZN US Equity","PROC_FR_REPAYMNTS_BOR_DETAILED","FQ2 2007","FQ2 2007","Currency=USD","Period=FQ","BEST_FPERIOD_OVERRIDE=FQ","FILING_STATUS=OR","SCALING_FORMAT=MLN","Sort=A","Dates=H","DateFormat=P","Fill=—","Direction=H","UseDPDF=Y")</f>
        <v>-29</v>
      </c>
      <c r="AK32" s="13">
        <f>_xll.BDH("AMZN US Equity","PROC_FR_REPAYMNTS_BOR_DETAILED","FQ3 2007","FQ3 2007","Currency=USD","Period=FQ","BEST_FPERIOD_OVERRIDE=FQ","FILING_STATUS=OR","SCALING_FORMAT=MLN","Sort=A","Dates=H","DateFormat=P","Fill=—","Direction=H","UseDPDF=Y")</f>
        <v>4</v>
      </c>
      <c r="AL32" s="13">
        <f>_xll.BDH("AMZN US Equity","PROC_FR_REPAYMNTS_BOR_DETAILED","FQ4 2007","FQ4 2007","Currency=USD","Period=FQ","BEST_FPERIOD_OVERRIDE=FQ","FILING_STATUS=OR","SCALING_FORMAT=MLN","Sort=A","Dates=H","DateFormat=P","Fill=—","Direction=H","UseDPDF=Y")</f>
        <v>-8</v>
      </c>
      <c r="AM32" s="13">
        <f>_xll.BDH("AMZN US Equity","PROC_FR_REPAYMNTS_BOR_DETAILED","FQ1 2008","FQ1 2008","Currency=USD","Period=FQ","BEST_FPERIOD_OVERRIDE=FQ","FILING_STATUS=OR","SCALING_FORMAT=MLN","Sort=A","Dates=H","DateFormat=P","Fill=—","Direction=H","UseDPDF=Y")</f>
        <v>26</v>
      </c>
      <c r="AN32" s="13">
        <f>_xll.BDH("AMZN US Equity","PROC_FR_REPAYMNTS_BOR_DETAILED","FQ2 2008","FQ2 2008","Currency=USD","Period=FQ","BEST_FPERIOD_OVERRIDE=FQ","FILING_STATUS=OR","SCALING_FORMAT=MLN","Sort=A","Dates=H","DateFormat=P","Fill=—","Direction=H","UseDPDF=Y")</f>
        <v>-35</v>
      </c>
      <c r="AO32" s="13">
        <f>_xll.BDH("AMZN US Equity","PROC_FR_REPAYMNTS_BOR_DETAILED","FQ3 2008","FQ3 2008","Currency=USD","Period=FQ","BEST_FPERIOD_OVERRIDE=FQ","FILING_STATUS=OR","SCALING_FORMAT=MLN","Sort=A","Dates=H","DateFormat=P","Fill=—","Direction=H","UseDPDF=Y")</f>
        <v>-295</v>
      </c>
      <c r="AP32" s="13">
        <f>_xll.BDH("AMZN US Equity","PROC_FR_REPAYMNTS_BOR_DETAILED","FQ4 2008","FQ4 2008","Currency=USD","Period=FQ","BEST_FPERIOD_OVERRIDE=FQ","FILING_STATUS=OR","SCALING_FORMAT=MLN","Sort=A","Dates=H","DateFormat=P","Fill=—","Direction=H","UseDPDF=Y")</f>
        <v>36</v>
      </c>
    </row>
    <row r="33" spans="1:42" x14ac:dyDescent="0.25">
      <c r="A33" s="10" t="s">
        <v>345</v>
      </c>
      <c r="B33" s="10" t="s">
        <v>346</v>
      </c>
      <c r="C33" s="13">
        <f>_xll.BDH("AMZN US Equity","PROC_FR_REPURCH_EQTY_DETAILED","FQ1 1999","FQ1 1999","Currency=USD","Period=FQ","BEST_FPERIOD_OVERRIDE=FQ","FILING_STATUS=OR","SCALING_FORMAT=MLN","Sort=A","Dates=H","DateFormat=P","Fill=—","Direction=H","UseDPDF=Y")</f>
        <v>6.54</v>
      </c>
      <c r="D33" s="13">
        <f>_xll.BDH("AMZN US Equity","PROC_FR_REPURCH_EQTY_DETAILED","FQ2 1999","FQ2 1999","Currency=USD","Period=FQ","BEST_FPERIOD_OVERRIDE=FQ","FILING_STATUS=OR","SCALING_FORMAT=MLN","Sort=A","Dates=H","DateFormat=P","Fill=—","Direction=H","UseDPDF=Y")</f>
        <v>15.086</v>
      </c>
      <c r="E33" s="13">
        <f>_xll.BDH("AMZN US Equity","PROC_FR_REPURCH_EQTY_DETAILED","FQ3 1999","FQ3 1999","Currency=USD","Period=FQ","BEST_FPERIOD_OVERRIDE=FQ","FILING_STATUS=OR","SCALING_FORMAT=MLN","Sort=A","Dates=H","DateFormat=P","Fill=—","Direction=H","UseDPDF=Y")</f>
        <v>15.304</v>
      </c>
      <c r="F33" s="13">
        <f>_xll.BDH("AMZN US Equity","PROC_FR_REPURCH_EQTY_DETAILED","FQ4 1999","FQ4 1999","Currency=USD","Period=FQ","BEST_FPERIOD_OVERRIDE=FQ","FILING_STATUS=OR","SCALING_FORMAT=MLN","Sort=A","Dates=H","DateFormat=P","Fill=—","Direction=H","UseDPDF=Y")</f>
        <v>27.539000000000001</v>
      </c>
      <c r="G33" s="13">
        <f>_xll.BDH("AMZN US Equity","PROC_FR_REPURCH_EQTY_DETAILED","FQ1 2000","FQ1 2000","Currency=USD","Period=FQ","BEST_FPERIOD_OVERRIDE=FQ","FILING_STATUS=OR","SCALING_FORMAT=MLN","Sort=A","Dates=H","DateFormat=P","Fill=—","Direction=H","UseDPDF=Y")</f>
        <v>21.359000000000002</v>
      </c>
      <c r="H33" s="13">
        <f>_xll.BDH("AMZN US Equity","PROC_FR_REPURCH_EQTY_DETAILED","FQ2 2000","FQ2 2000","Currency=USD","Period=FQ","BEST_FPERIOD_OVERRIDE=FQ","FILING_STATUS=OR","SCALING_FORMAT=MLN","Sort=A","Dates=H","DateFormat=P","Fill=—","Direction=H","UseDPDF=Y")</f>
        <v>13.794</v>
      </c>
      <c r="I33" s="13">
        <f>_xll.BDH("AMZN US Equity","PROC_FR_REPURCH_EQTY_DETAILED","FQ3 2000","FQ3 2000","Currency=USD","Period=FQ","BEST_FPERIOD_OVERRIDE=FQ","FILING_STATUS=OR","SCALING_FORMAT=MLN","Sort=A","Dates=H","DateFormat=P","Fill=—","Direction=H","UseDPDF=Y")</f>
        <v>4.5640000000000001</v>
      </c>
      <c r="J33" s="13">
        <f>_xll.BDH("AMZN US Equity","PROC_FR_REPURCH_EQTY_DETAILED","FQ4 2000","FQ4 2000","Currency=USD","Period=FQ","BEST_FPERIOD_OVERRIDE=FQ","FILING_STATUS=OR","SCALING_FORMAT=MLN","Sort=A","Dates=H","DateFormat=P","Fill=—","Direction=H","UseDPDF=Y")</f>
        <v>4.9800000000000004</v>
      </c>
      <c r="K33" s="13">
        <f>_xll.BDH("AMZN US Equity","PROC_FR_REPURCH_EQTY_DETAILED","FQ1 2001","FQ1 2001","Currency=USD","Period=FQ","BEST_FPERIOD_OVERRIDE=FQ","FILING_STATUS=OR","SCALING_FORMAT=MLN","Sort=A","Dates=H","DateFormat=P","Fill=—","Direction=H","UseDPDF=Y")</f>
        <v>5.8330000000000002</v>
      </c>
      <c r="L33" s="13">
        <f>_xll.BDH("AMZN US Equity","PROC_FR_REPURCH_EQTY_DETAILED","FQ2 2001","FQ2 2001","Currency=USD","Period=FQ","BEST_FPERIOD_OVERRIDE=FQ","FILING_STATUS=OR","SCALING_FORMAT=MLN","Sort=A","Dates=H","DateFormat=P","Fill=—","Direction=H","UseDPDF=Y")</f>
        <v>7.6440000000000001</v>
      </c>
      <c r="M33" s="13">
        <f>_xll.BDH("AMZN US Equity","PROC_FR_REPURCH_EQTY_DETAILED","FQ3 2001","FQ3 2001","Currency=USD","Period=FQ","BEST_FPERIOD_OVERRIDE=FQ","FILING_STATUS=OR","SCALING_FORMAT=MLN","Sort=A","Dates=H","DateFormat=P","Fill=—","Direction=H","UseDPDF=Y")</f>
        <v>100.932</v>
      </c>
      <c r="N33" s="13">
        <f>_xll.BDH("AMZN US Equity","PROC_FR_REPURCH_EQTY_DETAILED","FQ4 2001","FQ4 2001","Currency=USD","Period=FQ","BEST_FPERIOD_OVERRIDE=FQ","FILING_STATUS=OR","SCALING_FORMAT=MLN","Sort=A","Dates=H","DateFormat=P","Fill=—","Direction=H","UseDPDF=Y")</f>
        <v>2.0470000000000002</v>
      </c>
      <c r="O33" s="13">
        <f>_xll.BDH("AMZN US Equity","PROC_FR_REPURCH_EQTY_DETAILED","FQ1 2002","FQ1 2002","Currency=USD","Period=FQ","BEST_FPERIOD_OVERRIDE=FQ","FILING_STATUS=OR","SCALING_FORMAT=MLN","Sort=A","Dates=H","DateFormat=P","Fill=—","Direction=H","UseDPDF=Y")</f>
        <v>7.4089999999999998</v>
      </c>
      <c r="P33" s="13">
        <f>_xll.BDH("AMZN US Equity","PROC_FR_REPURCH_EQTY_DETAILED","FQ2 2002","FQ2 2002","Currency=USD","Period=FQ","BEST_FPERIOD_OVERRIDE=FQ","FILING_STATUS=OR","SCALING_FORMAT=MLN","Sort=A","Dates=H","DateFormat=P","Fill=—","Direction=H","UseDPDF=Y")</f>
        <v>42.866</v>
      </c>
      <c r="Q33" s="13">
        <f>_xll.BDH("AMZN US Equity","PROC_FR_REPURCH_EQTY_DETAILED","FQ3 2002","FQ3 2002","Currency=USD","Period=FQ","BEST_FPERIOD_OVERRIDE=FQ","FILING_STATUS=OR","SCALING_FORMAT=MLN","Sort=A","Dates=H","DateFormat=P","Fill=—","Direction=H","UseDPDF=Y")</f>
        <v>6.0380000000000003</v>
      </c>
      <c r="R33" s="13">
        <f>_xll.BDH("AMZN US Equity","PROC_FR_REPURCH_EQTY_DETAILED","FQ4 2002","FQ4 2002","Currency=USD","Period=FQ","BEST_FPERIOD_OVERRIDE=FQ","FILING_STATUS=OR","SCALING_FORMAT=MLN","Sort=A","Dates=H","DateFormat=P","Fill=—","Direction=H","UseDPDF=Y")</f>
        <v>65.376000000000005</v>
      </c>
      <c r="S33" s="13">
        <f>_xll.BDH("AMZN US Equity","PROC_FR_REPURCH_EQTY_DETAILED","FQ1 2003","FQ1 2003","Currency=USD","Period=FQ","BEST_FPERIOD_OVERRIDE=FQ","FILING_STATUS=OR","SCALING_FORMAT=MLN","Sort=A","Dates=H","DateFormat=P","Fill=—","Direction=H","UseDPDF=Y")</f>
        <v>38.555</v>
      </c>
      <c r="T33" s="13">
        <f>_xll.BDH("AMZN US Equity","PROC_FR_REPURCH_EQTY_DETAILED","FQ2 2003","FQ2 2003","Currency=USD","Period=FQ","BEST_FPERIOD_OVERRIDE=FQ","FILING_STATUS=OR","SCALING_FORMAT=MLN","Sort=A","Dates=H","DateFormat=P","Fill=—","Direction=H","UseDPDF=Y")</f>
        <v>53.042000000000002</v>
      </c>
      <c r="U33" s="13">
        <f>_xll.BDH("AMZN US Equity","PROC_FR_REPURCH_EQTY_DETAILED","FQ3 2003","FQ3 2003","Currency=USD","Period=FQ","BEST_FPERIOD_OVERRIDE=FQ","FILING_STATUS=OR","SCALING_FORMAT=MLN","Sort=A","Dates=H","DateFormat=P","Fill=—","Direction=H","UseDPDF=Y")</f>
        <v>41.234999999999999</v>
      </c>
      <c r="V33" s="13">
        <f>_xll.BDH("AMZN US Equity","PROC_FR_REPURCH_EQTY_DETAILED","FQ4 2003","FQ4 2003","Currency=USD","Period=FQ","BEST_FPERIOD_OVERRIDE=FQ","FILING_STATUS=OR","SCALING_FORMAT=MLN","Sort=A","Dates=H","DateFormat=P","Fill=—","Direction=H","UseDPDF=Y")</f>
        <v>30.49</v>
      </c>
      <c r="W33" s="13">
        <f>_xll.BDH("AMZN US Equity","PROC_FR_REPURCH_EQTY_DETAILED","FQ1 2004","FQ1 2004","Currency=USD","Period=FQ","BEST_FPERIOD_OVERRIDE=FQ","FILING_STATUS=OR","SCALING_FORMAT=MLN","Sort=A","Dates=H","DateFormat=P","Fill=—","Direction=H","UseDPDF=Y")</f>
        <v>14.814</v>
      </c>
      <c r="X33" s="13">
        <f>_xll.BDH("AMZN US Equity","PROC_FR_REPURCH_EQTY_DETAILED","FQ2 2004","FQ2 2004","Currency=USD","Period=FQ","BEST_FPERIOD_OVERRIDE=FQ","FILING_STATUS=OR","SCALING_FORMAT=MLN","Sort=A","Dates=H","DateFormat=P","Fill=—","Direction=H","UseDPDF=Y")</f>
        <v>20.077000000000002</v>
      </c>
      <c r="Y33" s="13">
        <f>_xll.BDH("AMZN US Equity","PROC_FR_REPURCH_EQTY_DETAILED","FQ3 2004","FQ3 2004","Currency=USD","Period=FQ","BEST_FPERIOD_OVERRIDE=FQ","FILING_STATUS=OR","SCALING_FORMAT=MLN","Sort=A","Dates=H","DateFormat=P","Fill=—","Direction=H","UseDPDF=Y")</f>
        <v>7.7270000000000003</v>
      </c>
      <c r="Z33" s="13">
        <f>_xll.BDH("AMZN US Equity","PROC_FR_REPURCH_EQTY_DETAILED","FQ4 2004","FQ4 2004","Currency=USD","Period=FQ","BEST_FPERIOD_OVERRIDE=FQ","FILING_STATUS=OR","SCALING_FORMAT=MLN","Sort=A","Dates=H","DateFormat=P","Fill=—","Direction=H","UseDPDF=Y")</f>
        <v>17.491</v>
      </c>
      <c r="AA33" s="13">
        <f>_xll.BDH("AMZN US Equity","PROC_FR_REPURCH_EQTY_DETAILED","FQ1 2005","FQ1 2005","Currency=USD","Period=FQ","BEST_FPERIOD_OVERRIDE=FQ","FILING_STATUS=OR","SCALING_FORMAT=MLN","Sort=A","Dates=H","DateFormat=P","Fill=—","Direction=H","UseDPDF=Y")</f>
        <v>9</v>
      </c>
      <c r="AB33" s="13">
        <f>_xll.BDH("AMZN US Equity","PROC_FR_REPURCH_EQTY_DETAILED","FQ2 2005","FQ2 2005","Currency=USD","Period=FQ","BEST_FPERIOD_OVERRIDE=FQ","FILING_STATUS=OR","SCALING_FORMAT=MLN","Sort=A","Dates=H","DateFormat=P","Fill=—","Direction=H","UseDPDF=Y")</f>
        <v>9</v>
      </c>
      <c r="AC33" s="13">
        <f>_xll.BDH("AMZN US Equity","PROC_FR_REPURCH_EQTY_DETAILED","FQ3 2005","FQ3 2005","Currency=USD","Period=FQ","BEST_FPERIOD_OVERRIDE=FQ","FILING_STATUS=OR","SCALING_FORMAT=MLN","Sort=A","Dates=H","DateFormat=P","Fill=—","Direction=H","UseDPDF=Y")</f>
        <v>23</v>
      </c>
      <c r="AD33" s="13">
        <f>_xll.BDH("AMZN US Equity","PROC_FR_REPURCH_EQTY_DETAILED","FQ4 2005","FQ4 2005","Currency=USD","Period=FQ","BEST_FPERIOD_OVERRIDE=FQ","FILING_STATUS=OR","SCALING_FORMAT=MLN","Sort=A","Dates=H","DateFormat=P","Fill=—","Direction=H","UseDPDF=Y")</f>
        <v>25</v>
      </c>
      <c r="AE33" s="13">
        <f>_xll.BDH("AMZN US Equity","PROC_FR_REPURCH_EQTY_DETAILED","FQ1 2006","FQ1 2006","Currency=USD","Period=FQ","BEST_FPERIOD_OVERRIDE=FQ","FILING_STATUS=OR","SCALING_FORMAT=MLN","Sort=A","Dates=H","DateFormat=P","Fill=—","Direction=H","UseDPDF=Y")</f>
        <v>14</v>
      </c>
      <c r="AF33" s="13">
        <f>_xll.BDH("AMZN US Equity","PROC_FR_REPURCH_EQTY_DETAILED","FQ2 2006","FQ2 2006","Currency=USD","Period=FQ","BEST_FPERIOD_OVERRIDE=FQ","FILING_STATUS=OR","SCALING_FORMAT=MLN","Sort=A","Dates=H","DateFormat=P","Fill=—","Direction=H","UseDPDF=Y")</f>
        <v>28</v>
      </c>
      <c r="AG33" s="13">
        <f>_xll.BDH("AMZN US Equity","PROC_FR_REPURCH_EQTY_DETAILED","FQ3 2006","FQ3 2006","Currency=USD","Period=FQ","BEST_FPERIOD_OVERRIDE=FQ","FILING_STATUS=OR","SCALING_FORMAT=MLN","Sort=A","Dates=H","DateFormat=P","Fill=—","Direction=H","UseDPDF=Y")</f>
        <v>-239</v>
      </c>
      <c r="AH33" s="13">
        <f>_xll.BDH("AMZN US Equity","PROC_FR_REPURCH_EQTY_DETAILED","FQ4 2006","FQ4 2006","Currency=USD","Period=FQ","BEST_FPERIOD_OVERRIDE=FQ","FILING_STATUS=OR","SCALING_FORMAT=MLN","Sort=A","Dates=H","DateFormat=P","Fill=—","Direction=H","UseDPDF=Y")</f>
        <v>82</v>
      </c>
      <c r="AI33" s="13">
        <f>_xll.BDH("AMZN US Equity","PROC_FR_REPURCH_EQTY_DETAILED","FQ1 2007","FQ1 2007","Currency=USD","Period=FQ","BEST_FPERIOD_OVERRIDE=FQ","FILING_STATUS=OR","SCALING_FORMAT=MLN","Sort=A","Dates=H","DateFormat=P","Fill=—","Direction=H","UseDPDF=Y")</f>
        <v>-215</v>
      </c>
      <c r="AJ33" s="13">
        <f>_xll.BDH("AMZN US Equity","PROC_FR_REPURCH_EQTY_DETAILED","FQ2 2007","FQ2 2007","Currency=USD","Period=FQ","BEST_FPERIOD_OVERRIDE=FQ","FILING_STATUS=OR","SCALING_FORMAT=MLN","Sort=A","Dates=H","DateFormat=P","Fill=—","Direction=H","UseDPDF=Y")</f>
        <v>70</v>
      </c>
      <c r="AK33" s="13">
        <f>_xll.BDH("AMZN US Equity","PROC_FR_REPURCH_EQTY_DETAILED","FQ3 2007","FQ3 2007","Currency=USD","Period=FQ","BEST_FPERIOD_OVERRIDE=FQ","FILING_STATUS=OR","SCALING_FORMAT=MLN","Sort=A","Dates=H","DateFormat=P","Fill=—","Direction=H","UseDPDF=Y")</f>
        <v>69</v>
      </c>
      <c r="AL33" s="13">
        <f>_xll.BDH("AMZN US Equity","PROC_FR_REPURCH_EQTY_DETAILED","FQ4 2007","FQ4 2007","Currency=USD","Period=FQ","BEST_FPERIOD_OVERRIDE=FQ","FILING_STATUS=OR","SCALING_FORMAT=MLN","Sort=A","Dates=H","DateFormat=P","Fill=—","Direction=H","UseDPDF=Y")</f>
        <v>176</v>
      </c>
      <c r="AM33" s="13">
        <f>_xll.BDH("AMZN US Equity","PROC_FR_REPURCH_EQTY_DETAILED","FQ1 2008","FQ1 2008","Currency=USD","Period=FQ","BEST_FPERIOD_OVERRIDE=FQ","FILING_STATUS=OR","SCALING_FORMAT=MLN","Sort=A","Dates=H","DateFormat=P","Fill=—","Direction=H","UseDPDF=Y")</f>
        <v>66</v>
      </c>
      <c r="AN33" s="13">
        <f>_xll.BDH("AMZN US Equity","PROC_FR_REPURCH_EQTY_DETAILED","FQ2 2008","FQ2 2008","Currency=USD","Period=FQ","BEST_FPERIOD_OVERRIDE=FQ","FILING_STATUS=OR","SCALING_FORMAT=MLN","Sort=A","Dates=H","DateFormat=P","Fill=—","Direction=H","UseDPDF=Y")</f>
        <v>49</v>
      </c>
      <c r="AO33" s="13">
        <f>_xll.BDH("AMZN US Equity","PROC_FR_REPURCH_EQTY_DETAILED","FQ3 2008","FQ3 2008","Currency=USD","Period=FQ","BEST_FPERIOD_OVERRIDE=FQ","FILING_STATUS=OR","SCALING_FORMAT=MLN","Sort=A","Dates=H","DateFormat=P","Fill=—","Direction=H","UseDPDF=Y")</f>
        <v>55</v>
      </c>
      <c r="AP33" s="13">
        <f>_xll.BDH("AMZN US Equity","PROC_FR_REPURCH_EQTY_DETAILED","FQ4 2008","FQ4 2008","Currency=USD","Period=FQ","BEST_FPERIOD_OVERRIDE=FQ","FILING_STATUS=OR","SCALING_FORMAT=MLN","Sort=A","Dates=H","DateFormat=P","Fill=—","Direction=H","UseDPDF=Y")</f>
        <v>-100</v>
      </c>
    </row>
    <row r="34" spans="1:42" x14ac:dyDescent="0.25">
      <c r="A34" s="10" t="s">
        <v>347</v>
      </c>
      <c r="B34" s="10" t="s">
        <v>348</v>
      </c>
      <c r="C34" s="13">
        <f>_xll.BDH("AMZN US Equity","CF_INCR_CAP_STOCK","FQ1 1999","FQ1 1999","Currency=USD","Period=FQ","BEST_FPERIOD_OVERRIDE=FQ","FILING_STATUS=OR","SCALING_FORMAT=MLN","Sort=A","Dates=H","DateFormat=P","Fill=—","Direction=H","UseDPDF=Y")</f>
        <v>6.54</v>
      </c>
      <c r="D34" s="13">
        <f>_xll.BDH("AMZN US Equity","CF_INCR_CAP_STOCK","FQ2 1999","FQ2 1999","Currency=USD","Period=FQ","BEST_FPERIOD_OVERRIDE=FQ","FILING_STATUS=OR","SCALING_FORMAT=MLN","Sort=A","Dates=H","DateFormat=P","Fill=—","Direction=H","UseDPDF=Y")</f>
        <v>15.086</v>
      </c>
      <c r="E34" s="13">
        <f>_xll.BDH("AMZN US Equity","CF_INCR_CAP_STOCK","FQ3 1999","FQ3 1999","Currency=USD","Period=FQ","BEST_FPERIOD_OVERRIDE=FQ","FILING_STATUS=OR","SCALING_FORMAT=MLN","Sort=A","Dates=H","DateFormat=P","Fill=—","Direction=H","UseDPDF=Y")</f>
        <v>15.304</v>
      </c>
      <c r="F34" s="13">
        <f>_xll.BDH("AMZN US Equity","CF_INCR_CAP_STOCK","FQ4 1999","FQ4 1999","Currency=USD","Period=FQ","BEST_FPERIOD_OVERRIDE=FQ","FILING_STATUS=OR","SCALING_FORMAT=MLN","Sort=A","Dates=H","DateFormat=P","Fill=—","Direction=H","UseDPDF=Y")</f>
        <v>27.539000000000001</v>
      </c>
      <c r="G34" s="13">
        <f>_xll.BDH("AMZN US Equity","CF_INCR_CAP_STOCK","FQ1 2000","FQ1 2000","Currency=USD","Period=FQ","BEST_FPERIOD_OVERRIDE=FQ","FILING_STATUS=OR","SCALING_FORMAT=MLN","Sort=A","Dates=H","DateFormat=P","Fill=—","Direction=H","UseDPDF=Y")</f>
        <v>21.359000000000002</v>
      </c>
      <c r="H34" s="13">
        <f>_xll.BDH("AMZN US Equity","CF_INCR_CAP_STOCK","FQ2 2000","FQ2 2000","Currency=USD","Period=FQ","BEST_FPERIOD_OVERRIDE=FQ","FILING_STATUS=OR","SCALING_FORMAT=MLN","Sort=A","Dates=H","DateFormat=P","Fill=—","Direction=H","UseDPDF=Y")</f>
        <v>13.794</v>
      </c>
      <c r="I34" s="13">
        <f>_xll.BDH("AMZN US Equity","CF_INCR_CAP_STOCK","FQ3 2000","FQ3 2000","Currency=USD","Period=FQ","BEST_FPERIOD_OVERRIDE=FQ","FILING_STATUS=OR","SCALING_FORMAT=MLN","Sort=A","Dates=H","DateFormat=P","Fill=—","Direction=H","UseDPDF=Y")</f>
        <v>4.5640000000000001</v>
      </c>
      <c r="J34" s="13">
        <f>_xll.BDH("AMZN US Equity","CF_INCR_CAP_STOCK","FQ4 2000","FQ4 2000","Currency=USD","Period=FQ","BEST_FPERIOD_OVERRIDE=FQ","FILING_STATUS=OR","SCALING_FORMAT=MLN","Sort=A","Dates=H","DateFormat=P","Fill=—","Direction=H","UseDPDF=Y")</f>
        <v>4.9800000000000004</v>
      </c>
      <c r="K34" s="13">
        <f>_xll.BDH("AMZN US Equity","CF_INCR_CAP_STOCK","FQ1 2001","FQ1 2001","Currency=USD","Period=FQ","BEST_FPERIOD_OVERRIDE=FQ","FILING_STATUS=OR","SCALING_FORMAT=MLN","Sort=A","Dates=H","DateFormat=P","Fill=—","Direction=H","UseDPDF=Y")</f>
        <v>5.8330000000000002</v>
      </c>
      <c r="L34" s="13">
        <f>_xll.BDH("AMZN US Equity","CF_INCR_CAP_STOCK","FQ2 2001","FQ2 2001","Currency=USD","Period=FQ","BEST_FPERIOD_OVERRIDE=FQ","FILING_STATUS=OR","SCALING_FORMAT=MLN","Sort=A","Dates=H","DateFormat=P","Fill=—","Direction=H","UseDPDF=Y")</f>
        <v>7.6440000000000001</v>
      </c>
      <c r="M34" s="13">
        <f>_xll.BDH("AMZN US Equity","CF_INCR_CAP_STOCK","FQ3 2001","FQ3 2001","Currency=USD","Period=FQ","BEST_FPERIOD_OVERRIDE=FQ","FILING_STATUS=OR","SCALING_FORMAT=MLN","Sort=A","Dates=H","DateFormat=P","Fill=—","Direction=H","UseDPDF=Y")</f>
        <v>100.932</v>
      </c>
      <c r="N34" s="13">
        <f>_xll.BDH("AMZN US Equity","CF_INCR_CAP_STOCK","FQ4 2001","FQ4 2001","Currency=USD","Period=FQ","BEST_FPERIOD_OVERRIDE=FQ","FILING_STATUS=OR","SCALING_FORMAT=MLN","Sort=A","Dates=H","DateFormat=P","Fill=—","Direction=H","UseDPDF=Y")</f>
        <v>2.0470000000000002</v>
      </c>
      <c r="O34" s="13">
        <f>_xll.BDH("AMZN US Equity","CF_INCR_CAP_STOCK","FQ1 2002","FQ1 2002","Currency=USD","Period=FQ","BEST_FPERIOD_OVERRIDE=FQ","FILING_STATUS=OR","SCALING_FORMAT=MLN","Sort=A","Dates=H","DateFormat=P","Fill=—","Direction=H","UseDPDF=Y")</f>
        <v>7.4089999999999998</v>
      </c>
      <c r="P34" s="13">
        <f>_xll.BDH("AMZN US Equity","CF_INCR_CAP_STOCK","FQ2 2002","FQ2 2002","Currency=USD","Period=FQ","BEST_FPERIOD_OVERRIDE=FQ","FILING_STATUS=OR","SCALING_FORMAT=MLN","Sort=A","Dates=H","DateFormat=P","Fill=—","Direction=H","UseDPDF=Y")</f>
        <v>42.866</v>
      </c>
      <c r="Q34" s="13">
        <f>_xll.BDH("AMZN US Equity","CF_INCR_CAP_STOCK","FQ3 2002","FQ3 2002","Currency=USD","Period=FQ","BEST_FPERIOD_OVERRIDE=FQ","FILING_STATUS=OR","SCALING_FORMAT=MLN","Sort=A","Dates=H","DateFormat=P","Fill=—","Direction=H","UseDPDF=Y")</f>
        <v>6.0380000000000003</v>
      </c>
      <c r="R34" s="13">
        <f>_xll.BDH("AMZN US Equity","CF_INCR_CAP_STOCK","FQ4 2002","FQ4 2002","Currency=USD","Period=FQ","BEST_FPERIOD_OVERRIDE=FQ","FILING_STATUS=OR","SCALING_FORMAT=MLN","Sort=A","Dates=H","DateFormat=P","Fill=—","Direction=H","UseDPDF=Y")</f>
        <v>65.376000000000005</v>
      </c>
      <c r="S34" s="13">
        <f>_xll.BDH("AMZN US Equity","CF_INCR_CAP_STOCK","FQ1 2003","FQ1 2003","Currency=USD","Period=FQ","BEST_FPERIOD_OVERRIDE=FQ","FILING_STATUS=OR","SCALING_FORMAT=MLN","Sort=A","Dates=H","DateFormat=P","Fill=—","Direction=H","UseDPDF=Y")</f>
        <v>38.555</v>
      </c>
      <c r="T34" s="13">
        <f>_xll.BDH("AMZN US Equity","CF_INCR_CAP_STOCK","FQ2 2003","FQ2 2003","Currency=USD","Period=FQ","BEST_FPERIOD_OVERRIDE=FQ","FILING_STATUS=OR","SCALING_FORMAT=MLN","Sort=A","Dates=H","DateFormat=P","Fill=—","Direction=H","UseDPDF=Y")</f>
        <v>53.042000000000002</v>
      </c>
      <c r="U34" s="13">
        <f>_xll.BDH("AMZN US Equity","CF_INCR_CAP_STOCK","FQ3 2003","FQ3 2003","Currency=USD","Period=FQ","BEST_FPERIOD_OVERRIDE=FQ","FILING_STATUS=OR","SCALING_FORMAT=MLN","Sort=A","Dates=H","DateFormat=P","Fill=—","Direction=H","UseDPDF=Y")</f>
        <v>41.234999999999999</v>
      </c>
      <c r="V34" s="13">
        <f>_xll.BDH("AMZN US Equity","CF_INCR_CAP_STOCK","FQ4 2003","FQ4 2003","Currency=USD","Period=FQ","BEST_FPERIOD_OVERRIDE=FQ","FILING_STATUS=OR","SCALING_FORMAT=MLN","Sort=A","Dates=H","DateFormat=P","Fill=—","Direction=H","UseDPDF=Y")</f>
        <v>30.49</v>
      </c>
      <c r="W34" s="13">
        <f>_xll.BDH("AMZN US Equity","CF_INCR_CAP_STOCK","FQ1 2004","FQ1 2004","Currency=USD","Period=FQ","BEST_FPERIOD_OVERRIDE=FQ","FILING_STATUS=OR","SCALING_FORMAT=MLN","Sort=A","Dates=H","DateFormat=P","Fill=—","Direction=H","UseDPDF=Y")</f>
        <v>14.814</v>
      </c>
      <c r="X34" s="13">
        <f>_xll.BDH("AMZN US Equity","CF_INCR_CAP_STOCK","FQ2 2004","FQ2 2004","Currency=USD","Period=FQ","BEST_FPERIOD_OVERRIDE=FQ","FILING_STATUS=OR","SCALING_FORMAT=MLN","Sort=A","Dates=H","DateFormat=P","Fill=—","Direction=H","UseDPDF=Y")</f>
        <v>20.077000000000002</v>
      </c>
      <c r="Y34" s="13">
        <f>_xll.BDH("AMZN US Equity","CF_INCR_CAP_STOCK","FQ3 2004","FQ3 2004","Currency=USD","Period=FQ","BEST_FPERIOD_OVERRIDE=FQ","FILING_STATUS=OR","SCALING_FORMAT=MLN","Sort=A","Dates=H","DateFormat=P","Fill=—","Direction=H","UseDPDF=Y")</f>
        <v>7.7270000000000003</v>
      </c>
      <c r="Z34" s="13">
        <f>_xll.BDH("AMZN US Equity","CF_INCR_CAP_STOCK","FQ4 2004","FQ4 2004","Currency=USD","Period=FQ","BEST_FPERIOD_OVERRIDE=FQ","FILING_STATUS=OR","SCALING_FORMAT=MLN","Sort=A","Dates=H","DateFormat=P","Fill=—","Direction=H","UseDPDF=Y")</f>
        <v>17.491</v>
      </c>
      <c r="AA34" s="13">
        <f>_xll.BDH("AMZN US Equity","CF_INCR_CAP_STOCK","FQ1 2005","FQ1 2005","Currency=USD","Period=FQ","BEST_FPERIOD_OVERRIDE=FQ","FILING_STATUS=OR","SCALING_FORMAT=MLN","Sort=A","Dates=H","DateFormat=P","Fill=—","Direction=H","UseDPDF=Y")</f>
        <v>9</v>
      </c>
      <c r="AB34" s="13">
        <f>_xll.BDH("AMZN US Equity","CF_INCR_CAP_STOCK","FQ2 2005","FQ2 2005","Currency=USD","Period=FQ","BEST_FPERIOD_OVERRIDE=FQ","FILING_STATUS=OR","SCALING_FORMAT=MLN","Sort=A","Dates=H","DateFormat=P","Fill=—","Direction=H","UseDPDF=Y")</f>
        <v>9</v>
      </c>
      <c r="AC34" s="13">
        <f>_xll.BDH("AMZN US Equity","CF_INCR_CAP_STOCK","FQ3 2005","FQ3 2005","Currency=USD","Period=FQ","BEST_FPERIOD_OVERRIDE=FQ","FILING_STATUS=OR","SCALING_FORMAT=MLN","Sort=A","Dates=H","DateFormat=P","Fill=—","Direction=H","UseDPDF=Y")</f>
        <v>23</v>
      </c>
      <c r="AD34" s="13">
        <f>_xll.BDH("AMZN US Equity","CF_INCR_CAP_STOCK","FQ4 2005","FQ4 2005","Currency=USD","Period=FQ","BEST_FPERIOD_OVERRIDE=FQ","FILING_STATUS=OR","SCALING_FORMAT=MLN","Sort=A","Dates=H","DateFormat=P","Fill=—","Direction=H","UseDPDF=Y")</f>
        <v>25</v>
      </c>
      <c r="AE34" s="13">
        <f>_xll.BDH("AMZN US Equity","CF_INCR_CAP_STOCK","FQ1 2006","FQ1 2006","Currency=USD","Period=FQ","BEST_FPERIOD_OVERRIDE=FQ","FILING_STATUS=OR","SCALING_FORMAT=MLN","Sort=A","Dates=H","DateFormat=P","Fill=—","Direction=H","UseDPDF=Y")</f>
        <v>14</v>
      </c>
      <c r="AF34" s="13">
        <f>_xll.BDH("AMZN US Equity","CF_INCR_CAP_STOCK","FQ2 2006","FQ2 2006","Currency=USD","Period=FQ","BEST_FPERIOD_OVERRIDE=FQ","FILING_STATUS=OR","SCALING_FORMAT=MLN","Sort=A","Dates=H","DateFormat=P","Fill=—","Direction=H","UseDPDF=Y")</f>
        <v>28</v>
      </c>
      <c r="AG34" s="13">
        <f>_xll.BDH("AMZN US Equity","CF_INCR_CAP_STOCK","FQ3 2006","FQ3 2006","Currency=USD","Period=FQ","BEST_FPERIOD_OVERRIDE=FQ","FILING_STATUS=OR","SCALING_FORMAT=MLN","Sort=A","Dates=H","DateFormat=P","Fill=—","Direction=H","UseDPDF=Y")</f>
        <v>13</v>
      </c>
      <c r="AH34" s="13">
        <f>_xll.BDH("AMZN US Equity","CF_INCR_CAP_STOCK","FQ4 2006","FQ4 2006","Currency=USD","Period=FQ","BEST_FPERIOD_OVERRIDE=FQ","FILING_STATUS=OR","SCALING_FORMAT=MLN","Sort=A","Dates=H","DateFormat=P","Fill=—","Direction=H","UseDPDF=Y")</f>
        <v>82</v>
      </c>
      <c r="AI34" s="13">
        <f>_xll.BDH("AMZN US Equity","CF_INCR_CAP_STOCK","FQ1 2007","FQ1 2007","Currency=USD","Period=FQ","BEST_FPERIOD_OVERRIDE=FQ","FILING_STATUS=OR","SCALING_FORMAT=MLN","Sort=A","Dates=H","DateFormat=P","Fill=—","Direction=H","UseDPDF=Y")</f>
        <v>33</v>
      </c>
      <c r="AJ34" s="13">
        <f>_xll.BDH("AMZN US Equity","CF_INCR_CAP_STOCK","FQ2 2007","FQ2 2007","Currency=USD","Period=FQ","BEST_FPERIOD_OVERRIDE=FQ","FILING_STATUS=OR","SCALING_FORMAT=MLN","Sort=A","Dates=H","DateFormat=P","Fill=—","Direction=H","UseDPDF=Y")</f>
        <v>70</v>
      </c>
      <c r="AK34" s="13">
        <f>_xll.BDH("AMZN US Equity","CF_INCR_CAP_STOCK","FQ3 2007","FQ3 2007","Currency=USD","Period=FQ","BEST_FPERIOD_OVERRIDE=FQ","FILING_STATUS=OR","SCALING_FORMAT=MLN","Sort=A","Dates=H","DateFormat=P","Fill=—","Direction=H","UseDPDF=Y")</f>
        <v>69</v>
      </c>
      <c r="AL34" s="13">
        <f>_xll.BDH("AMZN US Equity","CF_INCR_CAP_STOCK","FQ4 2007","FQ4 2007","Currency=USD","Period=FQ","BEST_FPERIOD_OVERRIDE=FQ","FILING_STATUS=OR","SCALING_FORMAT=MLN","Sort=A","Dates=H","DateFormat=P","Fill=—","Direction=H","UseDPDF=Y")</f>
        <v>176</v>
      </c>
      <c r="AM34" s="13">
        <f>_xll.BDH("AMZN US Equity","CF_INCR_CAP_STOCK","FQ1 2008","FQ1 2008","Currency=USD","Period=FQ","BEST_FPERIOD_OVERRIDE=FQ","FILING_STATUS=OR","SCALING_FORMAT=MLN","Sort=A","Dates=H","DateFormat=P","Fill=—","Direction=H","UseDPDF=Y")</f>
        <v>66</v>
      </c>
      <c r="AN34" s="13">
        <f>_xll.BDH("AMZN US Equity","CF_INCR_CAP_STOCK","FQ2 2008","FQ2 2008","Currency=USD","Period=FQ","BEST_FPERIOD_OVERRIDE=FQ","FILING_STATUS=OR","SCALING_FORMAT=MLN","Sort=A","Dates=H","DateFormat=P","Fill=—","Direction=H","UseDPDF=Y")</f>
        <v>49</v>
      </c>
      <c r="AO34" s="13">
        <f>_xll.BDH("AMZN US Equity","CF_INCR_CAP_STOCK","FQ3 2008","FQ3 2008","Currency=USD","Period=FQ","BEST_FPERIOD_OVERRIDE=FQ","FILING_STATUS=OR","SCALING_FORMAT=MLN","Sort=A","Dates=H","DateFormat=P","Fill=—","Direction=H","UseDPDF=Y")</f>
        <v>55</v>
      </c>
      <c r="AP34" s="13">
        <f>_xll.BDH("AMZN US Equity","CF_INCR_CAP_STOCK","FQ4 2008","FQ4 2008","Currency=USD","Period=FQ","BEST_FPERIOD_OVERRIDE=FQ","FILING_STATUS=OR","SCALING_FORMAT=MLN","Sort=A","Dates=H","DateFormat=P","Fill=—","Direction=H","UseDPDF=Y")</f>
        <v>0</v>
      </c>
    </row>
    <row r="35" spans="1:42" x14ac:dyDescent="0.25">
      <c r="A35" s="10" t="s">
        <v>349</v>
      </c>
      <c r="B35" s="10" t="s">
        <v>350</v>
      </c>
      <c r="C35" s="13">
        <f>_xll.BDH("AMZN US Equity","CF_DECR_CAP_STOCK","FQ1 1999","FQ1 1999","Currency=USD","Period=FQ","BEST_FPERIOD_OVERRIDE=FQ","FILING_STATUS=OR","SCALING_FORMAT=MLN","Sort=A","Dates=H","DateFormat=P","Fill=—","Direction=H","UseDPDF=Y")</f>
        <v>0</v>
      </c>
      <c r="D35" s="13">
        <f>_xll.BDH("AMZN US Equity","CF_DECR_CAP_STOCK","FQ2 1999","FQ2 1999","Currency=USD","Period=FQ","BEST_FPERIOD_OVERRIDE=FQ","FILING_STATUS=OR","SCALING_FORMAT=MLN","Sort=A","Dates=H","DateFormat=P","Fill=—","Direction=H","UseDPDF=Y")</f>
        <v>0</v>
      </c>
      <c r="E35" s="13">
        <f>_xll.BDH("AMZN US Equity","CF_DECR_CAP_STOCK","FQ3 1999","FQ3 1999","Currency=USD","Period=FQ","BEST_FPERIOD_OVERRIDE=FQ","FILING_STATUS=OR","SCALING_FORMAT=MLN","Sort=A","Dates=H","DateFormat=P","Fill=—","Direction=H","UseDPDF=Y")</f>
        <v>0</v>
      </c>
      <c r="F35" s="13">
        <f>_xll.BDH("AMZN US Equity","CF_DECR_CAP_STOCK","FQ4 1999","FQ4 1999","Currency=USD","Period=FQ","BEST_FPERIOD_OVERRIDE=FQ","FILING_STATUS=OR","SCALING_FORMAT=MLN","Sort=A","Dates=H","DateFormat=P","Fill=—","Direction=H","UseDPDF=Y")</f>
        <v>0</v>
      </c>
      <c r="G35" s="13">
        <f>_xll.BDH("AMZN US Equity","CF_DECR_CAP_STOCK","FQ1 2000","FQ1 2000","Currency=USD","Period=FQ","BEST_FPERIOD_OVERRIDE=FQ","FILING_STATUS=OR","SCALING_FORMAT=MLN","Sort=A","Dates=H","DateFormat=P","Fill=—","Direction=H","UseDPDF=Y")</f>
        <v>0</v>
      </c>
      <c r="H35" s="13">
        <f>_xll.BDH("AMZN US Equity","CF_DECR_CAP_STOCK","FQ2 2000","FQ2 2000","Currency=USD","Period=FQ","BEST_FPERIOD_OVERRIDE=FQ","FILING_STATUS=OR","SCALING_FORMAT=MLN","Sort=A","Dates=H","DateFormat=P","Fill=—","Direction=H","UseDPDF=Y")</f>
        <v>0</v>
      </c>
      <c r="I35" s="13">
        <f>_xll.BDH("AMZN US Equity","CF_DECR_CAP_STOCK","FQ3 2000","FQ3 2000","Currency=USD","Period=FQ","BEST_FPERIOD_OVERRIDE=FQ","FILING_STATUS=OR","SCALING_FORMAT=MLN","Sort=A","Dates=H","DateFormat=P","Fill=—","Direction=H","UseDPDF=Y")</f>
        <v>0</v>
      </c>
      <c r="J35" s="13">
        <f>_xll.BDH("AMZN US Equity","CF_DECR_CAP_STOCK","FQ4 2000","FQ4 2000","Currency=USD","Period=FQ","BEST_FPERIOD_OVERRIDE=FQ","FILING_STATUS=OR","SCALING_FORMAT=MLN","Sort=A","Dates=H","DateFormat=P","Fill=—","Direction=H","UseDPDF=Y")</f>
        <v>0</v>
      </c>
      <c r="K35" s="13">
        <f>_xll.BDH("AMZN US Equity","CF_DECR_CAP_STOCK","FQ1 2001","FQ1 2001","Currency=USD","Period=FQ","BEST_FPERIOD_OVERRIDE=FQ","FILING_STATUS=OR","SCALING_FORMAT=MLN","Sort=A","Dates=H","DateFormat=P","Fill=—","Direction=H","UseDPDF=Y")</f>
        <v>0</v>
      </c>
      <c r="L35" s="13">
        <f>_xll.BDH("AMZN US Equity","CF_DECR_CAP_STOCK","FQ2 2001","FQ2 2001","Currency=USD","Period=FQ","BEST_FPERIOD_OVERRIDE=FQ","FILING_STATUS=OR","SCALING_FORMAT=MLN","Sort=A","Dates=H","DateFormat=P","Fill=—","Direction=H","UseDPDF=Y")</f>
        <v>0</v>
      </c>
      <c r="M35" s="13">
        <f>_xll.BDH("AMZN US Equity","CF_DECR_CAP_STOCK","FQ3 2001","FQ3 2001","Currency=USD","Period=FQ","BEST_FPERIOD_OVERRIDE=FQ","FILING_STATUS=OR","SCALING_FORMAT=MLN","Sort=A","Dates=H","DateFormat=P","Fill=—","Direction=H","UseDPDF=Y")</f>
        <v>0</v>
      </c>
      <c r="N35" s="13">
        <f>_xll.BDH("AMZN US Equity","CF_DECR_CAP_STOCK","FQ4 2001","FQ4 2001","Currency=USD","Period=FQ","BEST_FPERIOD_OVERRIDE=FQ","FILING_STATUS=OR","SCALING_FORMAT=MLN","Sort=A","Dates=H","DateFormat=P","Fill=—","Direction=H","UseDPDF=Y")</f>
        <v>0</v>
      </c>
      <c r="O35" s="13">
        <f>_xll.BDH("AMZN US Equity","CF_DECR_CAP_STOCK","FQ1 2002","FQ1 2002","Currency=USD","Period=FQ","BEST_FPERIOD_OVERRIDE=FQ","FILING_STATUS=OR","SCALING_FORMAT=MLN","Sort=A","Dates=H","DateFormat=P","Fill=—","Direction=H","UseDPDF=Y")</f>
        <v>0</v>
      </c>
      <c r="P35" s="13">
        <f>_xll.BDH("AMZN US Equity","CF_DECR_CAP_STOCK","FQ2 2002","FQ2 2002","Currency=USD","Period=FQ","BEST_FPERIOD_OVERRIDE=FQ","FILING_STATUS=OR","SCALING_FORMAT=MLN","Sort=A","Dates=H","DateFormat=P","Fill=—","Direction=H","UseDPDF=Y")</f>
        <v>0</v>
      </c>
      <c r="Q35" s="13">
        <f>_xll.BDH("AMZN US Equity","CF_DECR_CAP_STOCK","FQ3 2002","FQ3 2002","Currency=USD","Period=FQ","BEST_FPERIOD_OVERRIDE=FQ","FILING_STATUS=OR","SCALING_FORMAT=MLN","Sort=A","Dates=H","DateFormat=P","Fill=—","Direction=H","UseDPDF=Y")</f>
        <v>0</v>
      </c>
      <c r="R35" s="13">
        <f>_xll.BDH("AMZN US Equity","CF_DECR_CAP_STOCK","FQ4 2002","FQ4 2002","Currency=USD","Period=FQ","BEST_FPERIOD_OVERRIDE=FQ","FILING_STATUS=OR","SCALING_FORMAT=MLN","Sort=A","Dates=H","DateFormat=P","Fill=—","Direction=H","UseDPDF=Y")</f>
        <v>0</v>
      </c>
      <c r="S35" s="13">
        <f>_xll.BDH("AMZN US Equity","CF_DECR_CAP_STOCK","FQ1 2003","FQ1 2003","Currency=USD","Period=FQ","BEST_FPERIOD_OVERRIDE=FQ","FILING_STATUS=OR","SCALING_FORMAT=MLN","Sort=A","Dates=H","DateFormat=P","Fill=—","Direction=H","UseDPDF=Y")</f>
        <v>0</v>
      </c>
      <c r="T35" s="13">
        <f>_xll.BDH("AMZN US Equity","CF_DECR_CAP_STOCK","FQ2 2003","FQ2 2003","Currency=USD","Period=FQ","BEST_FPERIOD_OVERRIDE=FQ","FILING_STATUS=OR","SCALING_FORMAT=MLN","Sort=A","Dates=H","DateFormat=P","Fill=—","Direction=H","UseDPDF=Y")</f>
        <v>0</v>
      </c>
      <c r="U35" s="13">
        <f>_xll.BDH("AMZN US Equity","CF_DECR_CAP_STOCK","FQ3 2003","FQ3 2003","Currency=USD","Period=FQ","BEST_FPERIOD_OVERRIDE=FQ","FILING_STATUS=OR","SCALING_FORMAT=MLN","Sort=A","Dates=H","DateFormat=P","Fill=—","Direction=H","UseDPDF=Y")</f>
        <v>0</v>
      </c>
      <c r="V35" s="13">
        <f>_xll.BDH("AMZN US Equity","CF_DECR_CAP_STOCK","FQ4 2003","FQ4 2003","Currency=USD","Period=FQ","BEST_FPERIOD_OVERRIDE=FQ","FILING_STATUS=OR","SCALING_FORMAT=MLN","Sort=A","Dates=H","DateFormat=P","Fill=—","Direction=H","UseDPDF=Y")</f>
        <v>0</v>
      </c>
      <c r="W35" s="13">
        <f>_xll.BDH("AMZN US Equity","CF_DECR_CAP_STOCK","FQ1 2004","FQ1 2004","Currency=USD","Period=FQ","BEST_FPERIOD_OVERRIDE=FQ","FILING_STATUS=OR","SCALING_FORMAT=MLN","Sort=A","Dates=H","DateFormat=P","Fill=—","Direction=H","UseDPDF=Y")</f>
        <v>0</v>
      </c>
      <c r="X35" s="13">
        <f>_xll.BDH("AMZN US Equity","CF_DECR_CAP_STOCK","FQ2 2004","FQ2 2004","Currency=USD","Period=FQ","BEST_FPERIOD_OVERRIDE=FQ","FILING_STATUS=OR","SCALING_FORMAT=MLN","Sort=A","Dates=H","DateFormat=P","Fill=—","Direction=H","UseDPDF=Y")</f>
        <v>0</v>
      </c>
      <c r="Y35" s="13">
        <f>_xll.BDH("AMZN US Equity","CF_DECR_CAP_STOCK","FQ3 2004","FQ3 2004","Currency=USD","Period=FQ","BEST_FPERIOD_OVERRIDE=FQ","FILING_STATUS=OR","SCALING_FORMAT=MLN","Sort=A","Dates=H","DateFormat=P","Fill=—","Direction=H","UseDPDF=Y")</f>
        <v>0</v>
      </c>
      <c r="Z35" s="13">
        <f>_xll.BDH("AMZN US Equity","CF_DECR_CAP_STOCK","FQ4 2004","FQ4 2004","Currency=USD","Period=FQ","BEST_FPERIOD_OVERRIDE=FQ","FILING_STATUS=OR","SCALING_FORMAT=MLN","Sort=A","Dates=H","DateFormat=P","Fill=—","Direction=H","UseDPDF=Y")</f>
        <v>0</v>
      </c>
      <c r="AA35" s="13">
        <f>_xll.BDH("AMZN US Equity","CF_DECR_CAP_STOCK","FQ1 2005","FQ1 2005","Currency=USD","Period=FQ","BEST_FPERIOD_OVERRIDE=FQ","FILING_STATUS=OR","SCALING_FORMAT=MLN","Sort=A","Dates=H","DateFormat=P","Fill=—","Direction=H","UseDPDF=Y")</f>
        <v>0</v>
      </c>
      <c r="AB35" s="13">
        <f>_xll.BDH("AMZN US Equity","CF_DECR_CAP_STOCK","FQ2 2005","FQ2 2005","Currency=USD","Period=FQ","BEST_FPERIOD_OVERRIDE=FQ","FILING_STATUS=OR","SCALING_FORMAT=MLN","Sort=A","Dates=H","DateFormat=P","Fill=—","Direction=H","UseDPDF=Y")</f>
        <v>0</v>
      </c>
      <c r="AC35" s="13">
        <f>_xll.BDH("AMZN US Equity","CF_DECR_CAP_STOCK","FQ3 2005","FQ3 2005","Currency=USD","Period=FQ","BEST_FPERIOD_OVERRIDE=FQ","FILING_STATUS=OR","SCALING_FORMAT=MLN","Sort=A","Dates=H","DateFormat=P","Fill=—","Direction=H","UseDPDF=Y")</f>
        <v>0</v>
      </c>
      <c r="AD35" s="13">
        <f>_xll.BDH("AMZN US Equity","CF_DECR_CAP_STOCK","FQ4 2005","FQ4 2005","Currency=USD","Period=FQ","BEST_FPERIOD_OVERRIDE=FQ","FILING_STATUS=OR","SCALING_FORMAT=MLN","Sort=A","Dates=H","DateFormat=P","Fill=—","Direction=H","UseDPDF=Y")</f>
        <v>0</v>
      </c>
      <c r="AE35" s="13">
        <f>_xll.BDH("AMZN US Equity","CF_DECR_CAP_STOCK","FQ1 2006","FQ1 2006","Currency=USD","Period=FQ","BEST_FPERIOD_OVERRIDE=FQ","FILING_STATUS=OR","SCALING_FORMAT=MLN","Sort=A","Dates=H","DateFormat=P","Fill=—","Direction=H","UseDPDF=Y")</f>
        <v>0</v>
      </c>
      <c r="AF35" s="13">
        <f>_xll.BDH("AMZN US Equity","CF_DECR_CAP_STOCK","FQ2 2006","FQ2 2006","Currency=USD","Period=FQ","BEST_FPERIOD_OVERRIDE=FQ","FILING_STATUS=OR","SCALING_FORMAT=MLN","Sort=A","Dates=H","DateFormat=P","Fill=—","Direction=H","UseDPDF=Y")</f>
        <v>0</v>
      </c>
      <c r="AG35" s="13">
        <f>_xll.BDH("AMZN US Equity","CF_DECR_CAP_STOCK","FQ3 2006","FQ3 2006","Currency=USD","Period=FQ","BEST_FPERIOD_OVERRIDE=FQ","FILING_STATUS=OR","SCALING_FORMAT=MLN","Sort=A","Dates=H","DateFormat=P","Fill=—","Direction=H","UseDPDF=Y")</f>
        <v>-252</v>
      </c>
      <c r="AH35" s="13">
        <f>_xll.BDH("AMZN US Equity","CF_DECR_CAP_STOCK","FQ4 2006","FQ4 2006","Currency=USD","Period=FQ","BEST_FPERIOD_OVERRIDE=FQ","FILING_STATUS=OR","SCALING_FORMAT=MLN","Sort=A","Dates=H","DateFormat=P","Fill=—","Direction=H","UseDPDF=Y")</f>
        <v>0</v>
      </c>
      <c r="AI35" s="13">
        <f>_xll.BDH("AMZN US Equity","CF_DECR_CAP_STOCK","FQ1 2007","FQ1 2007","Currency=USD","Period=FQ","BEST_FPERIOD_OVERRIDE=FQ","FILING_STATUS=OR","SCALING_FORMAT=MLN","Sort=A","Dates=H","DateFormat=P","Fill=—","Direction=H","UseDPDF=Y")</f>
        <v>-248</v>
      </c>
      <c r="AJ35" s="13">
        <f>_xll.BDH("AMZN US Equity","CF_DECR_CAP_STOCK","FQ2 2007","FQ2 2007","Currency=USD","Period=FQ","BEST_FPERIOD_OVERRIDE=FQ","FILING_STATUS=OR","SCALING_FORMAT=MLN","Sort=A","Dates=H","DateFormat=P","Fill=—","Direction=H","UseDPDF=Y")</f>
        <v>0</v>
      </c>
      <c r="AK35" s="13">
        <f>_xll.BDH("AMZN US Equity","CF_DECR_CAP_STOCK","FQ3 2007","FQ3 2007","Currency=USD","Period=FQ","BEST_FPERIOD_OVERRIDE=FQ","FILING_STATUS=OR","SCALING_FORMAT=MLN","Sort=A","Dates=H","DateFormat=P","Fill=—","Direction=H","UseDPDF=Y")</f>
        <v>0</v>
      </c>
      <c r="AL35" s="13">
        <f>_xll.BDH("AMZN US Equity","CF_DECR_CAP_STOCK","FQ4 2007","FQ4 2007","Currency=USD","Period=FQ","BEST_FPERIOD_OVERRIDE=FQ","FILING_STATUS=OR","SCALING_FORMAT=MLN","Sort=A","Dates=H","DateFormat=P","Fill=—","Direction=H","UseDPDF=Y")</f>
        <v>0</v>
      </c>
      <c r="AM35" s="13">
        <f>_xll.BDH("AMZN US Equity","CF_DECR_CAP_STOCK","FQ1 2008","FQ1 2008","Currency=USD","Period=FQ","BEST_FPERIOD_OVERRIDE=FQ","FILING_STATUS=OR","SCALING_FORMAT=MLN","Sort=A","Dates=H","DateFormat=P","Fill=—","Direction=H","UseDPDF=Y")</f>
        <v>0</v>
      </c>
      <c r="AN35" s="13">
        <f>_xll.BDH("AMZN US Equity","CF_DECR_CAP_STOCK","FQ2 2008","FQ2 2008","Currency=USD","Period=FQ","BEST_FPERIOD_OVERRIDE=FQ","FILING_STATUS=OR","SCALING_FORMAT=MLN","Sort=A","Dates=H","DateFormat=P","Fill=—","Direction=H","UseDPDF=Y")</f>
        <v>0</v>
      </c>
      <c r="AO35" s="13">
        <f>_xll.BDH("AMZN US Equity","CF_DECR_CAP_STOCK","FQ3 2008","FQ3 2008","Currency=USD","Period=FQ","BEST_FPERIOD_OVERRIDE=FQ","FILING_STATUS=OR","SCALING_FORMAT=MLN","Sort=A","Dates=H","DateFormat=P","Fill=—","Direction=H","UseDPDF=Y")</f>
        <v>0</v>
      </c>
      <c r="AP35" s="13">
        <f>_xll.BDH("AMZN US Equity","CF_DECR_CAP_STOCK","FQ4 2008","FQ4 2008","Currency=USD","Period=FQ","BEST_FPERIOD_OVERRIDE=FQ","FILING_STATUS=OR","SCALING_FORMAT=MLN","Sort=A","Dates=H","DateFormat=P","Fill=—","Direction=H","UseDPDF=Y")</f>
        <v>-100</v>
      </c>
    </row>
    <row r="36" spans="1:42" x14ac:dyDescent="0.25">
      <c r="A36" s="6" t="s">
        <v>340</v>
      </c>
      <c r="B36" s="6" t="s">
        <v>351</v>
      </c>
      <c r="C36" s="16">
        <f>_xll.BDH("AMZN US Equity","CFF_ACTIVITIES_DETAILED","FQ1 1999","FQ1 1999","Currency=USD","Period=FQ","BEST_FPERIOD_OVERRIDE=FQ","FILING_STATUS=OR","SCALING_FORMAT=MLN","Sort=A","Dates=H","DateFormat=P","Fill=—","Direction=H","UseDPDF=Y")</f>
        <v>1140.231</v>
      </c>
      <c r="D36" s="16">
        <f>_xll.BDH("AMZN US Equity","CFF_ACTIVITIES_DETAILED","FQ2 1999","FQ2 1999","Currency=USD","Period=FQ","BEST_FPERIOD_OVERRIDE=FQ","FILING_STATUS=OR","SCALING_FORMAT=MLN","Sort=A","Dates=H","DateFormat=P","Fill=—","Direction=H","UseDPDF=Y")</f>
        <v>-85.884</v>
      </c>
      <c r="E36" s="16">
        <f>_xll.BDH("AMZN US Equity","CFF_ACTIVITIES_DETAILED","FQ3 1999","FQ3 1999","Currency=USD","Period=FQ","BEST_FPERIOD_OVERRIDE=FQ","FILING_STATUS=OR","SCALING_FORMAT=MLN","Sort=A","Dates=H","DateFormat=P","Fill=—","Direction=H","UseDPDF=Y")</f>
        <v>23.617000000000001</v>
      </c>
      <c r="F36" s="16">
        <f>_xll.BDH("AMZN US Equity","CFF_ACTIVITIES_DETAILED","FQ4 1999","FQ4 1999","Currency=USD","Period=FQ","BEST_FPERIOD_OVERRIDE=FQ","FILING_STATUS=OR","SCALING_FORMAT=MLN","Sort=A","Dates=H","DateFormat=P","Fill=—","Direction=H","UseDPDF=Y")</f>
        <v>26.596</v>
      </c>
      <c r="G36" s="16">
        <f>_xll.BDH("AMZN US Equity","CFF_ACTIVITIES_DETAILED","FQ1 2000","FQ1 2000","Currency=USD","Period=FQ","BEST_FPERIOD_OVERRIDE=FQ","FILING_STATUS=OR","SCALING_FORMAT=MLN","Sort=A","Dates=H","DateFormat=P","Fill=—","Direction=H","UseDPDF=Y")</f>
        <v>664.80100000000004</v>
      </c>
      <c r="H36" s="16">
        <f>_xll.BDH("AMZN US Equity","CFF_ACTIVITIES_DETAILED","FQ2 2000","FQ2 2000","Currency=USD","Period=FQ","BEST_FPERIOD_OVERRIDE=FQ","FILING_STATUS=OR","SCALING_FORMAT=MLN","Sort=A","Dates=H","DateFormat=P","Fill=—","Direction=H","UseDPDF=Y")</f>
        <v>9.7270000000000003</v>
      </c>
      <c r="I36" s="16">
        <f>_xll.BDH("AMZN US Equity","CFF_ACTIVITIES_DETAILED","FQ3 2000","FQ3 2000","Currency=USD","Period=FQ","BEST_FPERIOD_OVERRIDE=FQ","FILING_STATUS=OR","SCALING_FORMAT=MLN","Sort=A","Dates=H","DateFormat=P","Fill=—","Direction=H","UseDPDF=Y")</f>
        <v>-49.597999999999999</v>
      </c>
      <c r="J36" s="16">
        <f>_xll.BDH("AMZN US Equity","CFF_ACTIVITIES_DETAILED","FQ4 2000","FQ4 2000","Currency=USD","Period=FQ","BEST_FPERIOD_OVERRIDE=FQ","FILING_STATUS=OR","SCALING_FORMAT=MLN","Sort=A","Dates=H","DateFormat=P","Fill=—","Direction=H","UseDPDF=Y")</f>
        <v>14.353999999999999</v>
      </c>
      <c r="K36" s="16">
        <f>_xll.BDH("AMZN US Equity","CFF_ACTIVITIES_DETAILED","FQ1 2001","FQ1 2001","Currency=USD","Period=FQ","BEST_FPERIOD_OVERRIDE=FQ","FILING_STATUS=OR","SCALING_FORMAT=MLN","Sort=A","Dates=H","DateFormat=P","Fill=—","Direction=H","UseDPDF=Y")</f>
        <v>-13.058</v>
      </c>
      <c r="L36" s="16">
        <f>_xll.BDH("AMZN US Equity","CFF_ACTIVITIES_DETAILED","FQ2 2001","FQ2 2001","Currency=USD","Period=FQ","BEST_FPERIOD_OVERRIDE=FQ","FILING_STATUS=OR","SCALING_FORMAT=MLN","Sort=A","Dates=H","DateFormat=P","Fill=—","Direction=H","UseDPDF=Y")</f>
        <v>-16.283000000000001</v>
      </c>
      <c r="M36" s="16">
        <f>_xll.BDH("AMZN US Equity","CFF_ACTIVITIES_DETAILED","FQ3 2001","FQ3 2001","Currency=USD","Period=FQ","BEST_FPERIOD_OVERRIDE=FQ","FILING_STATUS=OR","SCALING_FORMAT=MLN","Sort=A","Dates=H","DateFormat=P","Fill=—","Direction=H","UseDPDF=Y")</f>
        <v>128.779</v>
      </c>
      <c r="N36" s="16">
        <f>_xll.BDH("AMZN US Equity","CFF_ACTIVITIES_DETAILED","FQ4 2001","FQ4 2001","Currency=USD","Period=FQ","BEST_FPERIOD_OVERRIDE=FQ","FILING_STATUS=OR","SCALING_FORMAT=MLN","Sort=A","Dates=H","DateFormat=P","Fill=—","Direction=H","UseDPDF=Y")</f>
        <v>-8.5150000000000006</v>
      </c>
      <c r="O36" s="16">
        <f>_xll.BDH("AMZN US Equity","CFF_ACTIVITIES_DETAILED","FQ1 2002","FQ1 2002","Currency=USD","Period=FQ","BEST_FPERIOD_OVERRIDE=FQ","FILING_STATUS=OR","SCALING_FORMAT=MLN","Sort=A","Dates=H","DateFormat=P","Fill=—","Direction=H","UseDPDF=Y")</f>
        <v>-5.3999999999999999E-2</v>
      </c>
      <c r="P36" s="16">
        <f>_xll.BDH("AMZN US Equity","CFF_ACTIVITIES_DETAILED","FQ2 2002","FQ2 2002","Currency=USD","Period=FQ","BEST_FPERIOD_OVERRIDE=FQ","FILING_STATUS=OR","SCALING_FORMAT=MLN","Sort=A","Dates=H","DateFormat=P","Fill=—","Direction=H","UseDPDF=Y")</f>
        <v>63.093000000000004</v>
      </c>
      <c r="Q36" s="16">
        <f>_xll.BDH("AMZN US Equity","CFF_ACTIVITIES_DETAILED","FQ3 2002","FQ3 2002","Currency=USD","Period=FQ","BEST_FPERIOD_OVERRIDE=FQ","FILING_STATUS=OR","SCALING_FORMAT=MLN","Sort=A","Dates=H","DateFormat=P","Fill=—","Direction=H","UseDPDF=Y")</f>
        <v>7.9359999999999999</v>
      </c>
      <c r="R36" s="16">
        <f>_xll.BDH("AMZN US Equity","CFF_ACTIVITIES_DETAILED","FQ4 2002","FQ4 2002","Currency=USD","Period=FQ","BEST_FPERIOD_OVERRIDE=FQ","FILING_STATUS=OR","SCALING_FORMAT=MLN","Sort=A","Dates=H","DateFormat=P","Fill=—","Direction=H","UseDPDF=Y")</f>
        <v>74.39</v>
      </c>
      <c r="S36" s="16">
        <f>_xll.BDH("AMZN US Equity","CFF_ACTIVITIES_DETAILED","FQ1 2003","FQ1 2003","Currency=USD","Period=FQ","BEST_FPERIOD_OVERRIDE=FQ","FILING_STATUS=OR","SCALING_FORMAT=MLN","Sort=A","Dates=H","DateFormat=P","Fill=—","Direction=H","UseDPDF=Y")</f>
        <v>39.795000000000002</v>
      </c>
      <c r="T36" s="16">
        <f>_xll.BDH("AMZN US Equity","CFF_ACTIVITIES_DETAILED","FQ2 2003","FQ2 2003","Currency=USD","Period=FQ","BEST_FPERIOD_OVERRIDE=FQ","FILING_STATUS=OR","SCALING_FORMAT=MLN","Sort=A","Dates=H","DateFormat=P","Fill=—","Direction=H","UseDPDF=Y")</f>
        <v>-213.73699999999999</v>
      </c>
      <c r="U36" s="16">
        <f>_xll.BDH("AMZN US Equity","CFF_ACTIVITIES_DETAILED","FQ3 2003","FQ3 2003","Currency=USD","Period=FQ","BEST_FPERIOD_OVERRIDE=FQ","FILING_STATUS=OR","SCALING_FORMAT=MLN","Sort=A","Dates=H","DateFormat=P","Fill=—","Direction=H","UseDPDF=Y")</f>
        <v>47.884999999999998</v>
      </c>
      <c r="V36" s="16">
        <f>_xll.BDH("AMZN US Equity","CFF_ACTIVITIES_DETAILED","FQ4 2003","FQ4 2003","Currency=USD","Period=FQ","BEST_FPERIOD_OVERRIDE=FQ","FILING_STATUS=OR","SCALING_FORMAT=MLN","Sort=A","Dates=H","DateFormat=P","Fill=—","Direction=H","UseDPDF=Y")</f>
        <v>-138.59700000000001</v>
      </c>
      <c r="W36" s="16">
        <f>_xll.BDH("AMZN US Equity","CFF_ACTIVITIES_DETAILED","FQ1 2004","FQ1 2004","Currency=USD","Period=FQ","BEST_FPERIOD_OVERRIDE=FQ","FILING_STATUS=OR","SCALING_FORMAT=MLN","Sort=A","Dates=H","DateFormat=P","Fill=—","Direction=H","UseDPDF=Y")</f>
        <v>-138.57400000000001</v>
      </c>
      <c r="X36" s="16">
        <f>_xll.BDH("AMZN US Equity","CFF_ACTIVITIES_DETAILED","FQ2 2004","FQ2 2004","Currency=USD","Period=FQ","BEST_FPERIOD_OVERRIDE=FQ","FILING_STATUS=OR","SCALING_FORMAT=MLN","Sort=A","Dates=H","DateFormat=P","Fill=—","Direction=H","UseDPDF=Y")</f>
        <v>11.816000000000001</v>
      </c>
      <c r="Y36" s="16">
        <f>_xll.BDH("AMZN US Equity","CFF_ACTIVITIES_DETAILED","FQ3 2004","FQ3 2004","Currency=USD","Period=FQ","BEST_FPERIOD_OVERRIDE=FQ","FILING_STATUS=OR","SCALING_FORMAT=MLN","Sort=A","Dates=H","DateFormat=P","Fill=—","Direction=H","UseDPDF=Y")</f>
        <v>13.294</v>
      </c>
      <c r="Z36" s="16">
        <f>_xll.BDH("AMZN US Equity","CFF_ACTIVITIES_DETAILED","FQ4 2004","FQ4 2004","Currency=USD","Period=FQ","BEST_FPERIOD_OVERRIDE=FQ","FILING_STATUS=OR","SCALING_FORMAT=MLN","Sort=A","Dates=H","DateFormat=P","Fill=—","Direction=H","UseDPDF=Y")</f>
        <v>64.861999999999995</v>
      </c>
      <c r="AA36" s="16">
        <f>_xll.BDH("AMZN US Equity","CFF_ACTIVITIES_DETAILED","FQ1 2005","FQ1 2005","Currency=USD","Period=FQ","BEST_FPERIOD_OVERRIDE=FQ","FILING_STATUS=OR","SCALING_FORMAT=MLN","Sort=A","Dates=H","DateFormat=P","Fill=—","Direction=H","UseDPDF=Y")</f>
        <v>-279</v>
      </c>
      <c r="AB36" s="16">
        <f>_xll.BDH("AMZN US Equity","CFF_ACTIVITIES_DETAILED","FQ2 2005","FQ2 2005","Currency=USD","Period=FQ","BEST_FPERIOD_OVERRIDE=FQ","FILING_STATUS=OR","SCALING_FORMAT=MLN","Sort=A","Dates=H","DateFormat=P","Fill=—","Direction=H","UseDPDF=Y")</f>
        <v>-4</v>
      </c>
      <c r="AC36" s="16">
        <f>_xll.BDH("AMZN US Equity","CFF_ACTIVITIES_DETAILED","FQ3 2005","FQ3 2005","Currency=USD","Period=FQ","BEST_FPERIOD_OVERRIDE=FQ","FILING_STATUS=OR","SCALING_FORMAT=MLN","Sort=A","Dates=H","DateFormat=P","Fill=—","Direction=H","UseDPDF=Y")</f>
        <v>24</v>
      </c>
      <c r="AD36" s="16">
        <f>_xll.BDH("AMZN US Equity","CFF_ACTIVITIES_DETAILED","FQ4 2005","FQ4 2005","Currency=USD","Period=FQ","BEST_FPERIOD_OVERRIDE=FQ","FILING_STATUS=OR","SCALING_FORMAT=MLN","Sort=A","Dates=H","DateFormat=P","Fill=—","Direction=H","UseDPDF=Y")</f>
        <v>16</v>
      </c>
      <c r="AE36" s="16">
        <f>_xll.BDH("AMZN US Equity","CFF_ACTIVITIES_DETAILED","FQ1 2006","FQ1 2006","Currency=USD","Period=FQ","BEST_FPERIOD_OVERRIDE=FQ","FILING_STATUS=OR","SCALING_FORMAT=MLN","Sort=A","Dates=H","DateFormat=P","Fill=—","Direction=H","UseDPDF=Y")</f>
        <v>-287</v>
      </c>
      <c r="AF36" s="16">
        <f>_xll.BDH("AMZN US Equity","CFF_ACTIVITIES_DETAILED","FQ2 2006","FQ2 2006","Currency=USD","Period=FQ","BEST_FPERIOD_OVERRIDE=FQ","FILING_STATUS=OR","SCALING_FORMAT=MLN","Sort=A","Dates=H","DateFormat=P","Fill=—","Direction=H","UseDPDF=Y")</f>
        <v>87</v>
      </c>
      <c r="AG36" s="16">
        <f>_xll.BDH("AMZN US Equity","CFF_ACTIVITIES_DETAILED","FQ3 2006","FQ3 2006","Currency=USD","Period=FQ","BEST_FPERIOD_OVERRIDE=FQ","FILING_STATUS=OR","SCALING_FORMAT=MLN","Sort=A","Dates=H","DateFormat=P","Fill=—","Direction=H","UseDPDF=Y")</f>
        <v>-267</v>
      </c>
      <c r="AH36" s="16">
        <f>_xll.BDH("AMZN US Equity","CFF_ACTIVITIES_DETAILED","FQ4 2006","FQ4 2006","Currency=USD","Period=FQ","BEST_FPERIOD_OVERRIDE=FQ","FILING_STATUS=OR","SCALING_FORMAT=MLN","Sort=A","Dates=H","DateFormat=P","Fill=—","Direction=H","UseDPDF=Y")</f>
        <v>107</v>
      </c>
      <c r="AI36" s="16">
        <f>_xll.BDH("AMZN US Equity","CFF_ACTIVITIES_DETAILED","FQ1 2007","FQ1 2007","Currency=USD","Period=FQ","BEST_FPERIOD_OVERRIDE=FQ","FILING_STATUS=OR","SCALING_FORMAT=MLN","Sort=A","Dates=H","DateFormat=P","Fill=—","Direction=H","UseDPDF=Y")</f>
        <v>-230</v>
      </c>
      <c r="AJ36" s="16">
        <f>_xll.BDH("AMZN US Equity","CFF_ACTIVITIES_DETAILED","FQ2 2007","FQ2 2007","Currency=USD","Period=FQ","BEST_FPERIOD_OVERRIDE=FQ","FILING_STATUS=OR","SCALING_FORMAT=MLN","Sort=A","Dates=H","DateFormat=P","Fill=—","Direction=H","UseDPDF=Y")</f>
        <v>45</v>
      </c>
      <c r="AK36" s="16">
        <f>_xll.BDH("AMZN US Equity","CFF_ACTIVITIES_DETAILED","FQ3 2007","FQ3 2007","Currency=USD","Period=FQ","BEST_FPERIOD_OVERRIDE=FQ","FILING_STATUS=OR","SCALING_FORMAT=MLN","Sort=A","Dates=H","DateFormat=P","Fill=—","Direction=H","UseDPDF=Y")</f>
        <v>91</v>
      </c>
      <c r="AL36" s="16">
        <f>_xll.BDH("AMZN US Equity","CFF_ACTIVITIES_DETAILED","FQ4 2007","FQ4 2007","Currency=USD","Period=FQ","BEST_FPERIOD_OVERRIDE=FQ","FILING_STATUS=OR","SCALING_FORMAT=MLN","Sort=A","Dates=H","DateFormat=P","Fill=—","Direction=H","UseDPDF=Y")</f>
        <v>164</v>
      </c>
      <c r="AM36" s="16">
        <f>_xll.BDH("AMZN US Equity","CFF_ACTIVITIES_DETAILED","FQ1 2008","FQ1 2008","Currency=USD","Period=FQ","BEST_FPERIOD_OVERRIDE=FQ","FILING_STATUS=OR","SCALING_FORMAT=MLN","Sort=A","Dates=H","DateFormat=P","Fill=—","Direction=H","UseDPDF=Y")</f>
        <v>129</v>
      </c>
      <c r="AN36" s="16">
        <f>_xll.BDH("AMZN US Equity","CFF_ACTIVITIES_DETAILED","FQ2 2008","FQ2 2008","Currency=USD","Period=FQ","BEST_FPERIOD_OVERRIDE=FQ","FILING_STATUS=OR","SCALING_FORMAT=MLN","Sort=A","Dates=H","DateFormat=P","Fill=—","Direction=H","UseDPDF=Y")</f>
        <v>6</v>
      </c>
      <c r="AO36" s="16">
        <f>_xll.BDH("AMZN US Equity","CFF_ACTIVITIES_DETAILED","FQ3 2008","FQ3 2008","Currency=USD","Period=FQ","BEST_FPERIOD_OVERRIDE=FQ","FILING_STATUS=OR","SCALING_FORMAT=MLN","Sort=A","Dates=H","DateFormat=P","Fill=—","Direction=H","UseDPDF=Y")</f>
        <v>-316</v>
      </c>
      <c r="AP36" s="16">
        <f>_xll.BDH("AMZN US Equity","CFF_ACTIVITIES_DETAILED","FQ4 2008","FQ4 2008","Currency=USD","Period=FQ","BEST_FPERIOD_OVERRIDE=FQ","FILING_STATUS=OR","SCALING_FORMAT=MLN","Sort=A","Dates=H","DateFormat=P","Fill=—","Direction=H","UseDPDF=Y")</f>
        <v>-87</v>
      </c>
    </row>
    <row r="37" spans="1:42" x14ac:dyDescent="0.25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s="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s="6" t="s">
        <v>352</v>
      </c>
      <c r="B39" s="6" t="s">
        <v>353</v>
      </c>
      <c r="C39" s="16">
        <f>_xll.BDH("AMZN US Equity","CF_NET_CHNG_CASH","FQ1 1999","FQ1 1999","Currency=USD","Period=FQ","BEST_FPERIOD_OVERRIDE=FQ","FILING_STATUS=OR","SCALING_FORMAT=MLN","Sort=A","Dates=H","DateFormat=P","Fill=—","Direction=H","UseDPDF=Y")</f>
        <v>-20.306999999999999</v>
      </c>
      <c r="D39" s="16">
        <f>_xll.BDH("AMZN US Equity","CF_NET_CHNG_CASH","FQ2 1999","FQ2 1999","Currency=USD","Period=FQ","BEST_FPERIOD_OVERRIDE=FQ","FILING_STATUS=OR","SCALING_FORMAT=MLN","Sort=A","Dates=H","DateFormat=P","Fill=—","Direction=H","UseDPDF=Y")</f>
        <v>37.290999999999997</v>
      </c>
      <c r="E39" s="16">
        <f>_xll.BDH("AMZN US Equity","CF_NET_CHNG_CASH","FQ3 1999","FQ3 1999","Currency=USD","Period=FQ","BEST_FPERIOD_OVERRIDE=FQ","FILING_STATUS=OR","SCALING_FORMAT=MLN","Sort=A","Dates=H","DateFormat=P","Fill=—","Direction=H","UseDPDF=Y")</f>
        <v>0.60399999999999998</v>
      </c>
      <c r="F39" s="16">
        <f>_xll.BDH("AMZN US Equity","CF_NET_CHNG_CASH","FQ4 1999","FQ4 1999","Currency=USD","Period=FQ","BEST_FPERIOD_OVERRIDE=FQ","FILING_STATUS=OR","SCALING_FORMAT=MLN","Sort=A","Dates=H","DateFormat=P","Fill=—","Direction=H","UseDPDF=Y")</f>
        <v>44.137999999999998</v>
      </c>
      <c r="G39" s="16">
        <f>_xll.BDH("AMZN US Equity","CF_NET_CHNG_CASH","FQ1 2000","FQ1 2000","Currency=USD","Period=FQ","BEST_FPERIOD_OVERRIDE=FQ","FILING_STATUS=OR","SCALING_FORMAT=MLN","Sort=A","Dates=H","DateFormat=P","Fill=—","Direction=H","UseDPDF=Y")</f>
        <v>621.82399999999996</v>
      </c>
      <c r="H39" s="16">
        <f>_xll.BDH("AMZN US Equity","CF_NET_CHNG_CASH","FQ2 2000","FQ2 2000","Currency=USD","Period=FQ","BEST_FPERIOD_OVERRIDE=FQ","FILING_STATUS=OR","SCALING_FORMAT=MLN","Sort=A","Dates=H","DateFormat=P","Fill=—","Direction=H","UseDPDF=Y")</f>
        <v>-34.756</v>
      </c>
      <c r="I39" s="16">
        <f>_xll.BDH("AMZN US Equity","CF_NET_CHNG_CASH","FQ3 2000","FQ3 2000","Currency=USD","Period=FQ","BEST_FPERIOD_OVERRIDE=FQ","FILING_STATUS=OR","SCALING_FORMAT=MLN","Sort=A","Dates=H","DateFormat=P","Fill=—","Direction=H","UseDPDF=Y")</f>
        <v>-73.328999999999994</v>
      </c>
      <c r="J39" s="16">
        <f>_xll.BDH("AMZN US Equity","CF_NET_CHNG_CASH","FQ4 2000","FQ4 2000","Currency=USD","Period=FQ","BEST_FPERIOD_OVERRIDE=FQ","FILING_STATUS=OR","SCALING_FORMAT=MLN","Sort=A","Dates=H","DateFormat=P","Fill=—","Direction=H","UseDPDF=Y")</f>
        <v>175.387</v>
      </c>
      <c r="K39" s="16">
        <f>_xll.BDH("AMZN US Equity","CF_NET_CHNG_CASH","FQ1 2001","FQ1 2001","Currency=USD","Period=FQ","BEST_FPERIOD_OVERRIDE=FQ","FILING_STATUS=OR","SCALING_FORMAT=MLN","Sort=A","Dates=H","DateFormat=P","Fill=—","Direction=H","UseDPDF=Y")</f>
        <v>-375.49099999999999</v>
      </c>
      <c r="L39" s="16">
        <f>_xll.BDH("AMZN US Equity","CF_NET_CHNG_CASH","FQ2 2001","FQ2 2001","Currency=USD","Period=FQ","BEST_FPERIOD_OVERRIDE=FQ","FILING_STATUS=OR","SCALING_FORMAT=MLN","Sort=A","Dates=H","DateFormat=P","Fill=—","Direction=H","UseDPDF=Y")</f>
        <v>16.004999999999999</v>
      </c>
      <c r="M39" s="16">
        <f>_xll.BDH("AMZN US Equity","CF_NET_CHNG_CASH","FQ3 2001","FQ3 2001","Currency=USD","Period=FQ","BEST_FPERIOD_OVERRIDE=FQ","FILING_STATUS=OR","SCALING_FORMAT=MLN","Sort=A","Dates=H","DateFormat=P","Fill=—","Direction=H","UseDPDF=Y")</f>
        <v>-30.641999999999999</v>
      </c>
      <c r="N39" s="16">
        <f>_xll.BDH("AMZN US Equity","CF_NET_CHNG_CASH","FQ4 2001","FQ4 2001","Currency=USD","Period=FQ","BEST_FPERIOD_OVERRIDE=FQ","FILING_STATUS=OR","SCALING_FORMAT=MLN","Sort=A","Dates=H","DateFormat=P","Fill=—","Direction=H","UseDPDF=Y")</f>
        <v>107.97499999999999</v>
      </c>
      <c r="O39" s="16">
        <f>_xll.BDH("AMZN US Equity","CF_NET_CHNG_CASH","FQ1 2002","FQ1 2002","Currency=USD","Period=FQ","BEST_FPERIOD_OVERRIDE=FQ","FILING_STATUS=OR","SCALING_FORMAT=MLN","Sort=A","Dates=H","DateFormat=P","Fill=—","Direction=H","UseDPDF=Y")</f>
        <v>-243.59299999999999</v>
      </c>
      <c r="P39" s="16">
        <f>_xll.BDH("AMZN US Equity","CF_NET_CHNG_CASH","FQ2 2002","FQ2 2002","Currency=USD","Period=FQ","BEST_FPERIOD_OVERRIDE=FQ","FILING_STATUS=OR","SCALING_FORMAT=MLN","Sort=A","Dates=H","DateFormat=P","Fill=—","Direction=H","UseDPDF=Y")</f>
        <v>-26.251000000000001</v>
      </c>
      <c r="Q39" s="16">
        <f>_xll.BDH("AMZN US Equity","CF_NET_CHNG_CASH","FQ3 2002","FQ3 2002","Currency=USD","Period=FQ","BEST_FPERIOD_OVERRIDE=FQ","FILING_STATUS=OR","SCALING_FORMAT=MLN","Sort=A","Dates=H","DateFormat=P","Fill=—","Direction=H","UseDPDF=Y")</f>
        <v>57.125999999999998</v>
      </c>
      <c r="R39" s="16">
        <f>_xll.BDH("AMZN US Equity","CF_NET_CHNG_CASH","FQ4 2002","FQ4 2002","Currency=USD","Period=FQ","BEST_FPERIOD_OVERRIDE=FQ","FILING_STATUS=OR","SCALING_FORMAT=MLN","Sort=A","Dates=H","DateFormat=P","Fill=—","Direction=H","UseDPDF=Y")</f>
        <v>410.69</v>
      </c>
      <c r="S39" s="16">
        <f>_xll.BDH("AMZN US Equity","CF_NET_CHNG_CASH","FQ1 2003","FQ1 2003","Currency=USD","Period=FQ","BEST_FPERIOD_OVERRIDE=FQ","FILING_STATUS=OR","SCALING_FORMAT=MLN","Sort=A","Dates=H","DateFormat=P","Fill=—","Direction=H","UseDPDF=Y")</f>
        <v>-242.48099999999999</v>
      </c>
      <c r="T39" s="16">
        <f>_xll.BDH("AMZN US Equity","CF_NET_CHNG_CASH","FQ2 2003","FQ2 2003","Currency=USD","Period=FQ","BEST_FPERIOD_OVERRIDE=FQ","FILING_STATUS=OR","SCALING_FORMAT=MLN","Sort=A","Dates=H","DateFormat=P","Fill=—","Direction=H","UseDPDF=Y")</f>
        <v>145.95500000000001</v>
      </c>
      <c r="U39" s="16">
        <f>_xll.BDH("AMZN US Equity","CF_NET_CHNG_CASH","FQ3 2003","FQ3 2003","Currency=USD","Period=FQ","BEST_FPERIOD_OVERRIDE=FQ","FILING_STATUS=OR","SCALING_FORMAT=MLN","Sort=A","Dates=H","DateFormat=P","Fill=—","Direction=H","UseDPDF=Y")</f>
        <v>24.69</v>
      </c>
      <c r="V39" s="16">
        <f>_xll.BDH("AMZN US Equity","CF_NET_CHNG_CASH","FQ4 2003","FQ4 2003","Currency=USD","Period=FQ","BEST_FPERIOD_OVERRIDE=FQ","FILING_STATUS=OR","SCALING_FORMAT=MLN","Sort=A","Dates=H","DateFormat=P","Fill=—","Direction=H","UseDPDF=Y")</f>
        <v>435.85500000000002</v>
      </c>
      <c r="W39" s="16">
        <f>_xll.BDH("AMZN US Equity","CF_NET_CHNG_CASH","FQ1 2004","FQ1 2004","Currency=USD","Period=FQ","BEST_FPERIOD_OVERRIDE=FQ","FILING_STATUS=OR","SCALING_FORMAT=MLN","Sort=A","Dates=H","DateFormat=P","Fill=—","Direction=H","UseDPDF=Y")</f>
        <v>-333.68599999999998</v>
      </c>
      <c r="X39" s="16">
        <f>_xll.BDH("AMZN US Equity","CF_NET_CHNG_CASH","FQ2 2004","FQ2 2004","Currency=USD","Period=FQ","BEST_FPERIOD_OVERRIDE=FQ","FILING_STATUS=OR","SCALING_FORMAT=MLN","Sort=A","Dates=H","DateFormat=P","Fill=—","Direction=H","UseDPDF=Y")</f>
        <v>-67.436999999999998</v>
      </c>
      <c r="Y39" s="16">
        <f>_xll.BDH("AMZN US Equity","CF_NET_CHNG_CASH","FQ3 2004","FQ3 2004","Currency=USD","Period=FQ","BEST_FPERIOD_OVERRIDE=FQ","FILING_STATUS=OR","SCALING_FORMAT=MLN","Sort=A","Dates=H","DateFormat=P","Fill=—","Direction=H","UseDPDF=Y")</f>
        <v>44.457999999999998</v>
      </c>
      <c r="Z39" s="16">
        <f>_xll.BDH("AMZN US Equity","CF_NET_CHNG_CASH","FQ4 2004","FQ4 2004","Currency=USD","Period=FQ","BEST_FPERIOD_OVERRIDE=FQ","FILING_STATUS=OR","SCALING_FORMAT=MLN","Sort=A","Dates=H","DateFormat=P","Fill=—","Direction=H","UseDPDF=Y")</f>
        <v>556.99199999999996</v>
      </c>
      <c r="AA39" s="16">
        <f>_xll.BDH("AMZN US Equity","CF_NET_CHNG_CASH","FQ1 2005","FQ1 2005","Currency=USD","Period=FQ","BEST_FPERIOD_OVERRIDE=FQ","FILING_STATUS=OR","SCALING_FORMAT=MLN","Sort=A","Dates=H","DateFormat=P","Fill=—","Direction=H","UseDPDF=Y")</f>
        <v>-770</v>
      </c>
      <c r="AB39" s="16">
        <f>_xll.BDH("AMZN US Equity","CF_NET_CHNG_CASH","FQ2 2005","FQ2 2005","Currency=USD","Period=FQ","BEST_FPERIOD_OVERRIDE=FQ","FILING_STATUS=OR","SCALING_FORMAT=MLN","Sort=A","Dates=H","DateFormat=P","Fill=—","Direction=H","UseDPDF=Y")</f>
        <v>96</v>
      </c>
      <c r="AC39" s="16">
        <f>_xll.BDH("AMZN US Equity","CF_NET_CHNG_CASH","FQ3 2005","FQ3 2005","Currency=USD","Period=FQ","BEST_FPERIOD_OVERRIDE=FQ","FILING_STATUS=OR","SCALING_FORMAT=MLN","Sort=A","Dates=H","DateFormat=P","Fill=—","Direction=H","UseDPDF=Y")</f>
        <v>-29</v>
      </c>
      <c r="AD39" s="16">
        <f>_xll.BDH("AMZN US Equity","CF_NET_CHNG_CASH","FQ4 2005","FQ4 2005","Currency=USD","Period=FQ","BEST_FPERIOD_OVERRIDE=FQ","FILING_STATUS=OR","SCALING_FORMAT=MLN","Sort=A","Dates=H","DateFormat=P","Fill=—","Direction=H","UseDPDF=Y")</f>
        <v>413</v>
      </c>
      <c r="AE39" s="16">
        <f>_xll.BDH("AMZN US Equity","CF_NET_CHNG_CASH","FQ1 2006","FQ1 2006","Currency=USD","Period=FQ","BEST_FPERIOD_OVERRIDE=FQ","FILING_STATUS=OR","SCALING_FORMAT=MLN","Sort=A","Dates=H","DateFormat=P","Fill=—","Direction=H","UseDPDF=Y")</f>
        <v>-506</v>
      </c>
      <c r="AF39" s="16">
        <f>_xll.BDH("AMZN US Equity","CF_NET_CHNG_CASH","FQ2 2006","FQ2 2006","Currency=USD","Period=FQ","BEST_FPERIOD_OVERRIDE=FQ","FILING_STATUS=OR","SCALING_FORMAT=MLN","Sort=A","Dates=H","DateFormat=P","Fill=—","Direction=H","UseDPDF=Y")</f>
        <v>176</v>
      </c>
      <c r="AG39" s="16">
        <f>_xll.BDH("AMZN US Equity","CF_NET_CHNG_CASH","FQ3 2006","FQ3 2006","Currency=USD","Period=FQ","BEST_FPERIOD_OVERRIDE=FQ","FILING_STATUS=OR","SCALING_FORMAT=MLN","Sort=A","Dates=H","DateFormat=P","Fill=—","Direction=H","UseDPDF=Y")</f>
        <v>10</v>
      </c>
      <c r="AH39" s="16">
        <f>_xll.BDH("AMZN US Equity","CF_NET_CHNG_CASH","FQ4 2006","FQ4 2006","Currency=USD","Period=FQ","BEST_FPERIOD_OVERRIDE=FQ","FILING_STATUS=OR","SCALING_FORMAT=MLN","Sort=A","Dates=H","DateFormat=P","Fill=—","Direction=H","UseDPDF=Y")</f>
        <v>329</v>
      </c>
      <c r="AI39" s="16">
        <f>_xll.BDH("AMZN US Equity","CF_NET_CHNG_CASH","FQ1 2007","FQ1 2007","Currency=USD","Period=FQ","BEST_FPERIOD_OVERRIDE=FQ","FILING_STATUS=OR","SCALING_FORMAT=MLN","Sort=A","Dates=H","DateFormat=P","Fill=—","Direction=H","UseDPDF=Y")</f>
        <v>-274</v>
      </c>
      <c r="AJ39" s="16">
        <f>_xll.BDH("AMZN US Equity","CF_NET_CHNG_CASH","FQ2 2007","FQ2 2007","Currency=USD","Period=FQ","BEST_FPERIOD_OVERRIDE=FQ","FILING_STATUS=OR","SCALING_FORMAT=MLN","Sort=A","Dates=H","DateFormat=P","Fill=—","Direction=H","UseDPDF=Y")</f>
        <v>256</v>
      </c>
      <c r="AK39" s="16">
        <f>_xll.BDH("AMZN US Equity","CF_NET_CHNG_CASH","FQ3 2007","FQ3 2007","Currency=USD","Period=FQ","BEST_FPERIOD_OVERRIDE=FQ","FILING_STATUS=OR","SCALING_FORMAT=MLN","Sort=A","Dates=H","DateFormat=P","Fill=—","Direction=H","UseDPDF=Y")</f>
        <v>362</v>
      </c>
      <c r="AL39" s="16">
        <f>_xll.BDH("AMZN US Equity","CF_NET_CHNG_CASH","FQ4 2007","FQ4 2007","Currency=USD","Period=FQ","BEST_FPERIOD_OVERRIDE=FQ","FILING_STATUS=OR","SCALING_FORMAT=MLN","Sort=A","Dates=H","DateFormat=P","Fill=—","Direction=H","UseDPDF=Y")</f>
        <v>1173</v>
      </c>
      <c r="AM39" s="16">
        <f>_xll.BDH("AMZN US Equity","CF_NET_CHNG_CASH","FQ1 2008","FQ1 2008","Currency=USD","Period=FQ","BEST_FPERIOD_OVERRIDE=FQ","FILING_STATUS=OR","SCALING_FORMAT=MLN","Sort=A","Dates=H","DateFormat=P","Fill=—","Direction=H","UseDPDF=Y")</f>
        <v>-1043</v>
      </c>
      <c r="AN39" s="16">
        <f>_xll.BDH("AMZN US Equity","CF_NET_CHNG_CASH","FQ2 2008","FQ2 2008","Currency=USD","Period=FQ","BEST_FPERIOD_OVERRIDE=FQ","FILING_STATUS=OR","SCALING_FORMAT=MLN","Sort=A","Dates=H","DateFormat=P","Fill=—","Direction=H","UseDPDF=Y")</f>
        <v>52</v>
      </c>
      <c r="AO39" s="16">
        <f>_xll.BDH("AMZN US Equity","CF_NET_CHNG_CASH","FQ3 2008","FQ3 2008","Currency=USD","Period=FQ","BEST_FPERIOD_OVERRIDE=FQ","FILING_STATUS=OR","SCALING_FORMAT=MLN","Sort=A","Dates=H","DateFormat=P","Fill=—","Direction=H","UseDPDF=Y")</f>
        <v>102</v>
      </c>
      <c r="AP39" s="16">
        <f>_xll.BDH("AMZN US Equity","CF_NET_CHNG_CASH","FQ4 2008","FQ4 2008","Currency=USD","Period=FQ","BEST_FPERIOD_OVERRIDE=FQ","FILING_STATUS=OR","SCALING_FORMAT=MLN","Sort=A","Dates=H","DateFormat=P","Fill=—","Direction=H","UseDPDF=Y")</f>
        <v>1119</v>
      </c>
    </row>
    <row r="40" spans="1:42" x14ac:dyDescent="0.25">
      <c r="A40" s="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x14ac:dyDescent="0.25">
      <c r="A41" s="6" t="s">
        <v>354</v>
      </c>
      <c r="B41" s="6" t="s">
        <v>355</v>
      </c>
      <c r="C41" s="16" t="str">
        <f>_xll.BDH("AMZN US Equity","CF_CASH_PAID_FOR_TAX","FQ1 1999","FQ1 1999","Currency=USD","Period=FQ","BEST_FPERIOD_OVERRIDE=FQ","FILING_STATUS=OR","SCALING_FORMAT=MLN","Sort=A","Dates=H","DateFormat=P","Fill=—","Direction=H","UseDPDF=Y")</f>
        <v>—</v>
      </c>
      <c r="D41" s="16" t="str">
        <f>_xll.BDH("AMZN US Equity","CF_CASH_PAID_FOR_TAX","FQ2 1999","FQ2 1999","Currency=USD","Period=FQ","BEST_FPERIOD_OVERRIDE=FQ","FILING_STATUS=OR","SCALING_FORMAT=MLN","Sort=A","Dates=H","DateFormat=P","Fill=—","Direction=H","UseDPDF=Y")</f>
        <v>—</v>
      </c>
      <c r="E41" s="16" t="str">
        <f>_xll.BDH("AMZN US Equity","CF_CASH_PAID_FOR_TAX","FQ3 1999","FQ3 1999","Currency=USD","Period=FQ","BEST_FPERIOD_OVERRIDE=FQ","FILING_STATUS=OR","SCALING_FORMAT=MLN","Sort=A","Dates=H","DateFormat=P","Fill=—","Direction=H","UseDPDF=Y")</f>
        <v>—</v>
      </c>
      <c r="F41" s="16" t="str">
        <f>_xll.BDH("AMZN US Equity","CF_CASH_PAID_FOR_TAX","FQ4 1999","FQ4 1999","Currency=USD","Period=FQ","BEST_FPERIOD_OVERRIDE=FQ","FILING_STATUS=OR","SCALING_FORMAT=MLN","Sort=A","Dates=H","DateFormat=P","Fill=—","Direction=H","UseDPDF=Y")</f>
        <v>—</v>
      </c>
      <c r="G41" s="16">
        <f>_xll.BDH("AMZN US Equity","CF_CASH_PAID_FOR_TAX","FQ1 2000","FQ1 2000","Currency=USD","Period=FQ","BEST_FPERIOD_OVERRIDE=FQ","FILING_STATUS=OR","SCALING_FORMAT=MLN","Sort=A","Dates=H","DateFormat=P","Fill=—","Direction=H","UseDPDF=Y")</f>
        <v>0</v>
      </c>
      <c r="H41" s="16">
        <f>_xll.BDH("AMZN US Equity","CF_CASH_PAID_FOR_TAX","FQ2 2000","FQ2 2000","Currency=USD","Period=FQ","BEST_FPERIOD_OVERRIDE=FQ","FILING_STATUS=OR","SCALING_FORMAT=MLN","Sort=A","Dates=H","DateFormat=P","Fill=—","Direction=H","UseDPDF=Y")</f>
        <v>0</v>
      </c>
      <c r="I41" s="16">
        <f>_xll.BDH("AMZN US Equity","CF_CASH_PAID_FOR_TAX","FQ3 2000","FQ3 2000","Currency=USD","Period=FQ","BEST_FPERIOD_OVERRIDE=FQ","FILING_STATUS=OR","SCALING_FORMAT=MLN","Sort=A","Dates=H","DateFormat=P","Fill=—","Direction=H","UseDPDF=Y")</f>
        <v>0</v>
      </c>
      <c r="J41" s="16">
        <f>_xll.BDH("AMZN US Equity","CF_CASH_PAID_FOR_TAX","FQ4 2000","FQ4 2000","Currency=USD","Period=FQ","BEST_FPERIOD_OVERRIDE=FQ","FILING_STATUS=OR","SCALING_FORMAT=MLN","Sort=A","Dates=H","DateFormat=P","Fill=—","Direction=H","UseDPDF=Y")</f>
        <v>0</v>
      </c>
      <c r="K41" s="16">
        <f>_xll.BDH("AMZN US Equity","CF_CASH_PAID_FOR_TAX","FQ1 2001","FQ1 2001","Currency=USD","Period=FQ","BEST_FPERIOD_OVERRIDE=FQ","FILING_STATUS=OR","SCALING_FORMAT=MLN","Sort=A","Dates=H","DateFormat=P","Fill=—","Direction=H","UseDPDF=Y")</f>
        <v>0</v>
      </c>
      <c r="L41" s="16">
        <f>_xll.BDH("AMZN US Equity","CF_CASH_PAID_FOR_TAX","FQ2 2001","FQ2 2001","Currency=USD","Period=FQ","BEST_FPERIOD_OVERRIDE=FQ","FILING_STATUS=OR","SCALING_FORMAT=MLN","Sort=A","Dates=H","DateFormat=P","Fill=—","Direction=H","UseDPDF=Y")</f>
        <v>0</v>
      </c>
      <c r="M41" s="16">
        <f>_xll.BDH("AMZN US Equity","CF_CASH_PAID_FOR_TAX","FQ3 2001","FQ3 2001","Currency=USD","Period=FQ","BEST_FPERIOD_OVERRIDE=FQ","FILING_STATUS=OR","SCALING_FORMAT=MLN","Sort=A","Dates=H","DateFormat=P","Fill=—","Direction=H","UseDPDF=Y")</f>
        <v>0</v>
      </c>
      <c r="N41" s="16">
        <f>_xll.BDH("AMZN US Equity","CF_CASH_PAID_FOR_TAX","FQ4 2001","FQ4 2001","Currency=USD","Period=FQ","BEST_FPERIOD_OVERRIDE=FQ","FILING_STATUS=OR","SCALING_FORMAT=MLN","Sort=A","Dates=H","DateFormat=P","Fill=—","Direction=H","UseDPDF=Y")</f>
        <v>0</v>
      </c>
      <c r="O41" s="16">
        <f>_xll.BDH("AMZN US Equity","CF_CASH_PAID_FOR_TAX","FQ1 2002","FQ1 2002","Currency=USD","Period=FQ","BEST_FPERIOD_OVERRIDE=FQ","FILING_STATUS=OR","SCALING_FORMAT=MLN","Sort=A","Dates=H","DateFormat=P","Fill=—","Direction=H","UseDPDF=Y")</f>
        <v>0</v>
      </c>
      <c r="P41" s="16">
        <f>_xll.BDH("AMZN US Equity","CF_CASH_PAID_FOR_TAX","FQ2 2002","FQ2 2002","Currency=USD","Period=FQ","BEST_FPERIOD_OVERRIDE=FQ","FILING_STATUS=OR","SCALING_FORMAT=MLN","Sort=A","Dates=H","DateFormat=P","Fill=—","Direction=H","UseDPDF=Y")</f>
        <v>0</v>
      </c>
      <c r="Q41" s="16">
        <f>_xll.BDH("AMZN US Equity","CF_CASH_PAID_FOR_TAX","FQ3 2002","FQ3 2002","Currency=USD","Period=FQ","BEST_FPERIOD_OVERRIDE=FQ","FILING_STATUS=OR","SCALING_FORMAT=MLN","Sort=A","Dates=H","DateFormat=P","Fill=—","Direction=H","UseDPDF=Y")</f>
        <v>0</v>
      </c>
      <c r="R41" s="16">
        <f>_xll.BDH("AMZN US Equity","CF_CASH_PAID_FOR_TAX","FQ4 2002","FQ4 2002","Currency=USD","Period=FQ","BEST_FPERIOD_OVERRIDE=FQ","FILING_STATUS=OR","SCALING_FORMAT=MLN","Sort=A","Dates=H","DateFormat=P","Fill=—","Direction=H","UseDPDF=Y")</f>
        <v>0</v>
      </c>
      <c r="S41" s="16">
        <f>_xll.BDH("AMZN US Equity","CF_CASH_PAID_FOR_TAX","FQ1 2003","FQ1 2003","Currency=USD","Period=FQ","BEST_FPERIOD_OVERRIDE=FQ","FILING_STATUS=OR","SCALING_FORMAT=MLN","Sort=A","Dates=H","DateFormat=P","Fill=—","Direction=H","UseDPDF=Y")</f>
        <v>0.30199999999999999</v>
      </c>
      <c r="T41" s="16">
        <f>_xll.BDH("AMZN US Equity","CF_CASH_PAID_FOR_TAX","FQ2 2003","FQ2 2003","Currency=USD","Period=FQ","BEST_FPERIOD_OVERRIDE=FQ","FILING_STATUS=OR","SCALING_FORMAT=MLN","Sort=A","Dates=H","DateFormat=P","Fill=—","Direction=H","UseDPDF=Y")</f>
        <v>0.307</v>
      </c>
      <c r="U41" s="16">
        <f>_xll.BDH("AMZN US Equity","CF_CASH_PAID_FOR_TAX","FQ3 2003","FQ3 2003","Currency=USD","Period=FQ","BEST_FPERIOD_OVERRIDE=FQ","FILING_STATUS=OR","SCALING_FORMAT=MLN","Sort=A","Dates=H","DateFormat=P","Fill=—","Direction=H","UseDPDF=Y")</f>
        <v>1.0189999999999999</v>
      </c>
      <c r="V41" s="16">
        <f>_xll.BDH("AMZN US Equity","CF_CASH_PAID_FOR_TAX","FQ4 2003","FQ4 2003","Currency=USD","Period=FQ","BEST_FPERIOD_OVERRIDE=FQ","FILING_STATUS=OR","SCALING_FORMAT=MLN","Sort=A","Dates=H","DateFormat=P","Fill=—","Direction=H","UseDPDF=Y")</f>
        <v>0.19700000000000001</v>
      </c>
      <c r="W41" s="16">
        <f>_xll.BDH("AMZN US Equity","CF_CASH_PAID_FOR_TAX","FQ1 2004","FQ1 2004","Currency=USD","Period=FQ","BEST_FPERIOD_OVERRIDE=FQ","FILING_STATUS=OR","SCALING_FORMAT=MLN","Sort=A","Dates=H","DateFormat=P","Fill=—","Direction=H","UseDPDF=Y")</f>
        <v>0.44700000000000001</v>
      </c>
      <c r="X41" s="16">
        <f>_xll.BDH("AMZN US Equity","CF_CASH_PAID_FOR_TAX","FQ2 2004","FQ2 2004","Currency=USD","Period=FQ","BEST_FPERIOD_OVERRIDE=FQ","FILING_STATUS=OR","SCALING_FORMAT=MLN","Sort=A","Dates=H","DateFormat=P","Fill=—","Direction=H","UseDPDF=Y")</f>
        <v>0.56100000000000005</v>
      </c>
      <c r="Y41" s="16">
        <f>_xll.BDH("AMZN US Equity","CF_CASH_PAID_FOR_TAX","FQ3 2004","FQ3 2004","Currency=USD","Period=FQ","BEST_FPERIOD_OVERRIDE=FQ","FILING_STATUS=OR","SCALING_FORMAT=MLN","Sort=A","Dates=H","DateFormat=P","Fill=—","Direction=H","UseDPDF=Y")</f>
        <v>1.651</v>
      </c>
      <c r="Z41" s="16">
        <f>_xll.BDH("AMZN US Equity","CF_CASH_PAID_FOR_TAX","FQ4 2004","FQ4 2004","Currency=USD","Period=FQ","BEST_FPERIOD_OVERRIDE=FQ","FILING_STATUS=OR","SCALING_FORMAT=MLN","Sort=A","Dates=H","DateFormat=P","Fill=—","Direction=H","UseDPDF=Y")</f>
        <v>1.3919999999999999</v>
      </c>
      <c r="AA41" s="16">
        <f>_xll.BDH("AMZN US Equity","CF_CASH_PAID_FOR_TAX","FQ1 2005","FQ1 2005","Currency=USD","Period=FQ","BEST_FPERIOD_OVERRIDE=FQ","FILING_STATUS=OR","SCALING_FORMAT=MLN","Sort=A","Dates=H","DateFormat=P","Fill=—","Direction=H","UseDPDF=Y")</f>
        <v>3</v>
      </c>
      <c r="AB41" s="16">
        <f>_xll.BDH("AMZN US Equity","CF_CASH_PAID_FOR_TAX","FQ2 2005","FQ2 2005","Currency=USD","Period=FQ","BEST_FPERIOD_OVERRIDE=FQ","FILING_STATUS=OR","SCALING_FORMAT=MLN","Sort=A","Dates=H","DateFormat=P","Fill=—","Direction=H","UseDPDF=Y")</f>
        <v>1</v>
      </c>
      <c r="AC41" s="16">
        <f>_xll.BDH("AMZN US Equity","CF_CASH_PAID_FOR_TAX","FQ3 2005","FQ3 2005","Currency=USD","Period=FQ","BEST_FPERIOD_OVERRIDE=FQ","FILING_STATUS=OR","SCALING_FORMAT=MLN","Sort=A","Dates=H","DateFormat=P","Fill=—","Direction=H","UseDPDF=Y")</f>
        <v>6</v>
      </c>
      <c r="AD41" s="16">
        <f>_xll.BDH("AMZN US Equity","CF_CASH_PAID_FOR_TAX","FQ4 2005","FQ4 2005","Currency=USD","Period=FQ","BEST_FPERIOD_OVERRIDE=FQ","FILING_STATUS=OR","SCALING_FORMAT=MLN","Sort=A","Dates=H","DateFormat=P","Fill=—","Direction=H","UseDPDF=Y")</f>
        <v>2</v>
      </c>
      <c r="AE41" s="16">
        <f>_xll.BDH("AMZN US Equity","CF_CASH_PAID_FOR_TAX","FQ1 2006","FQ1 2006","Currency=USD","Period=FQ","BEST_FPERIOD_OVERRIDE=FQ","FILING_STATUS=OR","SCALING_FORMAT=MLN","Sort=A","Dates=H","DateFormat=P","Fill=—","Direction=H","UseDPDF=Y")</f>
        <v>5</v>
      </c>
      <c r="AF41" s="16">
        <f>_xll.BDH("AMZN US Equity","CF_CASH_PAID_FOR_TAX","FQ2 2006","FQ2 2006","Currency=USD","Period=FQ","BEST_FPERIOD_OVERRIDE=FQ","FILING_STATUS=OR","SCALING_FORMAT=MLN","Sort=A","Dates=H","DateFormat=P","Fill=—","Direction=H","UseDPDF=Y")</f>
        <v>3</v>
      </c>
      <c r="AG41" s="16">
        <f>_xll.BDH("AMZN US Equity","CF_CASH_PAID_FOR_TAX","FQ3 2006","FQ3 2006","Currency=USD","Period=FQ","BEST_FPERIOD_OVERRIDE=FQ","FILING_STATUS=OR","SCALING_FORMAT=MLN","Sort=A","Dates=H","DateFormat=P","Fill=—","Direction=H","UseDPDF=Y")</f>
        <v>5</v>
      </c>
      <c r="AH41" s="16">
        <f>_xll.BDH("AMZN US Equity","CF_CASH_PAID_FOR_TAX","FQ4 2006","FQ4 2006","Currency=USD","Period=FQ","BEST_FPERIOD_OVERRIDE=FQ","FILING_STATUS=OR","SCALING_FORMAT=MLN","Sort=A","Dates=H","DateFormat=P","Fill=—","Direction=H","UseDPDF=Y")</f>
        <v>2</v>
      </c>
      <c r="AI41" s="16">
        <f>_xll.BDH("AMZN US Equity","CF_CASH_PAID_FOR_TAX","FQ1 2007","FQ1 2007","Currency=USD","Period=FQ","BEST_FPERIOD_OVERRIDE=FQ","FILING_STATUS=OR","SCALING_FORMAT=MLN","Sort=A","Dates=H","DateFormat=P","Fill=—","Direction=H","UseDPDF=Y")</f>
        <v>3</v>
      </c>
      <c r="AJ41" s="16">
        <f>_xll.BDH("AMZN US Equity","CF_CASH_PAID_FOR_TAX","FQ2 2007","FQ2 2007","Currency=USD","Period=FQ","BEST_FPERIOD_OVERRIDE=FQ","FILING_STATUS=OR","SCALING_FORMAT=MLN","Sort=A","Dates=H","DateFormat=P","Fill=—","Direction=H","UseDPDF=Y")</f>
        <v>7</v>
      </c>
      <c r="AK41" s="16">
        <f>_xll.BDH("AMZN US Equity","CF_CASH_PAID_FOR_TAX","FQ3 2007","FQ3 2007","Currency=USD","Period=FQ","BEST_FPERIOD_OVERRIDE=FQ","FILING_STATUS=OR","SCALING_FORMAT=MLN","Sort=A","Dates=H","DateFormat=P","Fill=—","Direction=H","UseDPDF=Y")</f>
        <v>4</v>
      </c>
      <c r="AL41" s="16">
        <f>_xll.BDH("AMZN US Equity","CF_CASH_PAID_FOR_TAX","FQ4 2007","FQ4 2007","Currency=USD","Period=FQ","BEST_FPERIOD_OVERRIDE=FQ","FILING_STATUS=OR","SCALING_FORMAT=MLN","Sort=A","Dates=H","DateFormat=P","Fill=—","Direction=H","UseDPDF=Y")</f>
        <v>10</v>
      </c>
      <c r="AM41" s="16">
        <f>_xll.BDH("AMZN US Equity","CF_CASH_PAID_FOR_TAX","FQ1 2008","FQ1 2008","Currency=USD","Period=FQ","BEST_FPERIOD_OVERRIDE=FQ","FILING_STATUS=OR","SCALING_FORMAT=MLN","Sort=A","Dates=H","DateFormat=P","Fill=—","Direction=H","UseDPDF=Y")</f>
        <v>8</v>
      </c>
      <c r="AN41" s="16">
        <f>_xll.BDH("AMZN US Equity","CF_CASH_PAID_FOR_TAX","FQ2 2008","FQ2 2008","Currency=USD","Period=FQ","BEST_FPERIOD_OVERRIDE=FQ","FILING_STATUS=OR","SCALING_FORMAT=MLN","Sort=A","Dates=H","DateFormat=P","Fill=—","Direction=H","UseDPDF=Y")</f>
        <v>15</v>
      </c>
      <c r="AO41" s="16">
        <f>_xll.BDH("AMZN US Equity","CF_CASH_PAID_FOR_TAX","FQ3 2008","FQ3 2008","Currency=USD","Period=FQ","BEST_FPERIOD_OVERRIDE=FQ","FILING_STATUS=OR","SCALING_FORMAT=MLN","Sort=A","Dates=H","DateFormat=P","Fill=—","Direction=H","UseDPDF=Y")</f>
        <v>5</v>
      </c>
      <c r="AP41" s="16">
        <f>_xll.BDH("AMZN US Equity","CF_CASH_PAID_FOR_TAX","FQ4 2008","FQ4 2008","Currency=USD","Period=FQ","BEST_FPERIOD_OVERRIDE=FQ","FILING_STATUS=OR","SCALING_FORMAT=MLN","Sort=A","Dates=H","DateFormat=P","Fill=—","Direction=H","UseDPDF=Y")</f>
        <v>25</v>
      </c>
    </row>
    <row r="42" spans="1:42" x14ac:dyDescent="0.25">
      <c r="A42" s="6" t="s">
        <v>356</v>
      </c>
      <c r="B42" s="6" t="s">
        <v>357</v>
      </c>
      <c r="C42" s="16" t="str">
        <f>_xll.BDH("AMZN US Equity","CF_ACT_CASH_PAID_FOR_INT_DEBT","FQ1 1999","FQ1 1999","Currency=USD","Period=FQ","BEST_FPERIOD_OVERRIDE=FQ","FILING_STATUS=OR","SCALING_FORMAT=MLN","Sort=A","Dates=H","DateFormat=P","Fill=—","Direction=H","UseDPDF=Y")</f>
        <v>—</v>
      </c>
      <c r="D42" s="16" t="str">
        <f>_xll.BDH("AMZN US Equity","CF_ACT_CASH_PAID_FOR_INT_DEBT","FQ2 1999","FQ2 1999","Currency=USD","Period=FQ","BEST_FPERIOD_OVERRIDE=FQ","FILING_STATUS=OR","SCALING_FORMAT=MLN","Sort=A","Dates=H","DateFormat=P","Fill=—","Direction=H","UseDPDF=Y")</f>
        <v>—</v>
      </c>
      <c r="E42" s="16" t="str">
        <f>_xll.BDH("AMZN US Equity","CF_ACT_CASH_PAID_FOR_INT_DEBT","FQ3 1999","FQ3 1999","Currency=USD","Period=FQ","BEST_FPERIOD_OVERRIDE=FQ","FILING_STATUS=OR","SCALING_FORMAT=MLN","Sort=A","Dates=H","DateFormat=P","Fill=—","Direction=H","UseDPDF=Y")</f>
        <v>—</v>
      </c>
      <c r="F42" s="16" t="str">
        <f>_xll.BDH("AMZN US Equity","CF_ACT_CASH_PAID_FOR_INT_DEBT","FQ4 1999","FQ4 1999","Currency=USD","Period=FQ","BEST_FPERIOD_OVERRIDE=FQ","FILING_STATUS=OR","SCALING_FORMAT=MLN","Sort=A","Dates=H","DateFormat=P","Fill=—","Direction=H","UseDPDF=Y")</f>
        <v>—</v>
      </c>
      <c r="G42" s="16">
        <f>_xll.BDH("AMZN US Equity","CF_ACT_CASH_PAID_FOR_INT_DEBT","FQ1 2000","FQ1 2000","Currency=USD","Period=FQ","BEST_FPERIOD_OVERRIDE=FQ","FILING_STATUS=OR","SCALING_FORMAT=MLN","Sort=A","Dates=H","DateFormat=P","Fill=—","Direction=H","UseDPDF=Y")</f>
        <v>35.835000000000001</v>
      </c>
      <c r="H42" s="16">
        <f>_xll.BDH("AMZN US Equity","CF_ACT_CASH_PAID_FOR_INT_DEBT","FQ2 2000","FQ2 2000","Currency=USD","Period=FQ","BEST_FPERIOD_OVERRIDE=FQ","FILING_STATUS=OR","SCALING_FORMAT=MLN","Sort=A","Dates=H","DateFormat=P","Fill=—","Direction=H","UseDPDF=Y")</f>
        <v>7.9960000000000004</v>
      </c>
      <c r="I42" s="16">
        <f>_xll.BDH("AMZN US Equity","CF_ACT_CASH_PAID_FOR_INT_DEBT","FQ3 2000","FQ3 2000","Currency=USD","Period=FQ","BEST_FPERIOD_OVERRIDE=FQ","FILING_STATUS=OR","SCALING_FORMAT=MLN","Sort=A","Dates=H","DateFormat=P","Fill=—","Direction=H","UseDPDF=Y")</f>
        <v>33.64</v>
      </c>
      <c r="J42" s="16">
        <f>_xll.BDH("AMZN US Equity","CF_ACT_CASH_PAID_FOR_INT_DEBT","FQ4 2000","FQ4 2000","Currency=USD","Period=FQ","BEST_FPERIOD_OVERRIDE=FQ","FILING_STATUS=OR","SCALING_FORMAT=MLN","Sort=A","Dates=H","DateFormat=P","Fill=—","Direction=H","UseDPDF=Y")</f>
        <v>14.782</v>
      </c>
      <c r="K42" s="16">
        <f>_xll.BDH("AMZN US Equity","CF_ACT_CASH_PAID_FOR_INT_DEBT","FQ1 2001","FQ1 2001","Currency=USD","Period=FQ","BEST_FPERIOD_OVERRIDE=FQ","FILING_STATUS=OR","SCALING_FORMAT=MLN","Sort=A","Dates=H","DateFormat=P","Fill=—","Direction=H","UseDPDF=Y")</f>
        <v>79.516999999999996</v>
      </c>
      <c r="L42" s="16">
        <f>_xll.BDH("AMZN US Equity","CF_ACT_CASH_PAID_FOR_INT_DEBT","FQ2 2001","FQ2 2001","Currency=USD","Period=FQ","BEST_FPERIOD_OVERRIDE=FQ","FILING_STATUS=OR","SCALING_FORMAT=MLN","Sort=A","Dates=H","DateFormat=P","Fill=—","Direction=H","UseDPDF=Y")</f>
        <v>1.198</v>
      </c>
      <c r="M42" s="16">
        <f>_xll.BDH("AMZN US Equity","CF_ACT_CASH_PAID_FOR_INT_DEBT","FQ3 2001","FQ3 2001","Currency=USD","Period=FQ","BEST_FPERIOD_OVERRIDE=FQ","FILING_STATUS=OR","SCALING_FORMAT=MLN","Sort=A","Dates=H","DateFormat=P","Fill=—","Direction=H","UseDPDF=Y")</f>
        <v>30.274999999999999</v>
      </c>
      <c r="N42" s="16">
        <f>_xll.BDH("AMZN US Equity","CF_ACT_CASH_PAID_FOR_INT_DEBT","FQ4 2001","FQ4 2001","Currency=USD","Period=FQ","BEST_FPERIOD_OVERRIDE=FQ","FILING_STATUS=OR","SCALING_FORMAT=MLN","Sort=A","Dates=H","DateFormat=P","Fill=—","Direction=H","UseDPDF=Y")</f>
        <v>1.194</v>
      </c>
      <c r="O42" s="16">
        <f>_xll.BDH("AMZN US Equity","CF_ACT_CASH_PAID_FOR_INT_DEBT","FQ1 2002","FQ1 2002","Currency=USD","Period=FQ","BEST_FPERIOD_OVERRIDE=FQ","FILING_STATUS=OR","SCALING_FORMAT=MLN","Sort=A","Dates=H","DateFormat=P","Fill=—","Direction=H","UseDPDF=Y")</f>
        <v>80.483000000000004</v>
      </c>
      <c r="P42" s="16">
        <f>_xll.BDH("AMZN US Equity","CF_ACT_CASH_PAID_FOR_INT_DEBT","FQ2 2002","FQ2 2002","Currency=USD","Period=FQ","BEST_FPERIOD_OVERRIDE=FQ","FILING_STATUS=OR","SCALING_FORMAT=MLN","Sort=A","Dates=H","DateFormat=P","Fill=—","Direction=H","UseDPDF=Y")</f>
        <v>0.56599999999999995</v>
      </c>
      <c r="Q42" s="16">
        <f>_xll.BDH("AMZN US Equity","CF_ACT_CASH_PAID_FOR_INT_DEBT","FQ3 2002","FQ3 2002","Currency=USD","Period=FQ","BEST_FPERIOD_OVERRIDE=FQ","FILING_STATUS=OR","SCALING_FORMAT=MLN","Sort=A","Dates=H","DateFormat=P","Fill=—","Direction=H","UseDPDF=Y")</f>
        <v>29.898</v>
      </c>
      <c r="R42" s="16">
        <f>_xll.BDH("AMZN US Equity","CF_ACT_CASH_PAID_FOR_INT_DEBT","FQ4 2002","FQ4 2002","Currency=USD","Period=FQ","BEST_FPERIOD_OVERRIDE=FQ","FILING_STATUS=OR","SCALING_FORMAT=MLN","Sort=A","Dates=H","DateFormat=P","Fill=—","Direction=H","UseDPDF=Y")</f>
        <v>0.64200000000000002</v>
      </c>
      <c r="S42" s="16">
        <f>_xll.BDH("AMZN US Equity","CF_ACT_CASH_PAID_FOR_INT_DEBT","FQ1 2003","FQ1 2003","Currency=USD","Period=FQ","BEST_FPERIOD_OVERRIDE=FQ","FILING_STATUS=OR","SCALING_FORMAT=MLN","Sort=A","Dates=H","DateFormat=P","Fill=—","Direction=H","UseDPDF=Y")</f>
        <v>84.215000000000003</v>
      </c>
      <c r="T42" s="16">
        <f>_xll.BDH("AMZN US Equity","CF_ACT_CASH_PAID_FOR_INT_DEBT","FQ2 2003","FQ2 2003","Currency=USD","Period=FQ","BEST_FPERIOD_OVERRIDE=FQ","FILING_STATUS=OR","SCALING_FORMAT=MLN","Sort=A","Dates=H","DateFormat=P","Fill=—","Direction=H","UseDPDF=Y")</f>
        <v>2.601</v>
      </c>
      <c r="U42" s="16">
        <f>_xll.BDH("AMZN US Equity","CF_ACT_CASH_PAID_FOR_INT_DEBT","FQ3 2003","FQ3 2003","Currency=USD","Period=FQ","BEST_FPERIOD_OVERRIDE=FQ","FILING_STATUS=OR","SCALING_FORMAT=MLN","Sort=A","Dates=H","DateFormat=P","Fill=—","Direction=H","UseDPDF=Y")</f>
        <v>30.018999999999998</v>
      </c>
      <c r="V42" s="16">
        <f>_xll.BDH("AMZN US Equity","CF_ACT_CASH_PAID_FOR_INT_DEBT","FQ4 2003","FQ4 2003","Currency=USD","Period=FQ","BEST_FPERIOD_OVERRIDE=FQ","FILING_STATUS=OR","SCALING_FORMAT=MLN","Sort=A","Dates=H","DateFormat=P","Fill=—","Direction=H","UseDPDF=Y")</f>
        <v>3.1120000000000001</v>
      </c>
      <c r="W42" s="16">
        <f>_xll.BDH("AMZN US Equity","CF_ACT_CASH_PAID_FOR_INT_DEBT","FQ1 2004","FQ1 2004","Currency=USD","Period=FQ","BEST_FPERIOD_OVERRIDE=FQ","FILING_STATUS=OR","SCALING_FORMAT=MLN","Sort=A","Dates=H","DateFormat=P","Fill=—","Direction=H","UseDPDF=Y")</f>
        <v>86.022999999999996</v>
      </c>
      <c r="X42" s="16">
        <f>_xll.BDH("AMZN US Equity","CF_ACT_CASH_PAID_FOR_INT_DEBT","FQ2 2004","FQ2 2004","Currency=USD","Period=FQ","BEST_FPERIOD_OVERRIDE=FQ","FILING_STATUS=OR","SCALING_FORMAT=MLN","Sort=A","Dates=H","DateFormat=P","Fill=—","Direction=H","UseDPDF=Y")</f>
        <v>4.4999999999999998E-2</v>
      </c>
      <c r="Y42" s="16">
        <f>_xll.BDH("AMZN US Equity","CF_ACT_CASH_PAID_FOR_INT_DEBT","FQ3 2004","FQ3 2004","Currency=USD","Period=FQ","BEST_FPERIOD_OVERRIDE=FQ","FILING_STATUS=OR","SCALING_FORMAT=MLN","Sort=A","Dates=H","DateFormat=P","Fill=—","Direction=H","UseDPDF=Y")</f>
        <v>21.497</v>
      </c>
      <c r="Z42" s="16">
        <f>_xll.BDH("AMZN US Equity","CF_ACT_CASH_PAID_FOR_INT_DEBT","FQ4 2004","FQ4 2004","Currency=USD","Period=FQ","BEST_FPERIOD_OVERRIDE=FQ","FILING_STATUS=OR","SCALING_FORMAT=MLN","Sort=A","Dates=H","DateFormat=P","Fill=—","Direction=H","UseDPDF=Y")</f>
        <v>3.9E-2</v>
      </c>
      <c r="AA42" s="16">
        <f>_xll.BDH("AMZN US Equity","CF_ACT_CASH_PAID_FOR_INT_DEBT","FQ1 2005","FQ1 2005","Currency=USD","Period=FQ","BEST_FPERIOD_OVERRIDE=FQ","FILING_STATUS=OR","SCALING_FORMAT=MLN","Sort=A","Dates=H","DateFormat=P","Fill=—","Direction=H","UseDPDF=Y")</f>
        <v>84</v>
      </c>
      <c r="AB42" s="16">
        <f>_xll.BDH("AMZN US Equity","CF_ACT_CASH_PAID_FOR_INT_DEBT","FQ2 2005","FQ2 2005","Currency=USD","Period=FQ","BEST_FPERIOD_OVERRIDE=FQ","FILING_STATUS=OR","SCALING_FORMAT=MLN","Sort=A","Dates=H","DateFormat=P","Fill=—","Direction=H","UseDPDF=Y")</f>
        <v>0</v>
      </c>
      <c r="AC42" s="16">
        <f>_xll.BDH("AMZN US Equity","CF_ACT_CASH_PAID_FOR_INT_DEBT","FQ3 2005","FQ3 2005","Currency=USD","Period=FQ","BEST_FPERIOD_OVERRIDE=FQ","FILING_STATUS=OR","SCALING_FORMAT=MLN","Sort=A","Dates=H","DateFormat=P","Fill=—","Direction=H","UseDPDF=Y")</f>
        <v>21</v>
      </c>
      <c r="AD42" s="16">
        <f>_xll.BDH("AMZN US Equity","CF_ACT_CASH_PAID_FOR_INT_DEBT","FQ4 2005","FQ4 2005","Currency=USD","Period=FQ","BEST_FPERIOD_OVERRIDE=FQ","FILING_STATUS=OR","SCALING_FORMAT=MLN","Sort=A","Dates=H","DateFormat=P","Fill=—","Direction=H","UseDPDF=Y")</f>
        <v>0</v>
      </c>
      <c r="AE42" s="16">
        <f>_xll.BDH("AMZN US Equity","CF_ACT_CASH_PAID_FOR_INT_DEBT","FQ1 2006","FQ1 2006","Currency=USD","Period=FQ","BEST_FPERIOD_OVERRIDE=FQ","FILING_STATUS=OR","SCALING_FORMAT=MLN","Sort=A","Dates=H","DateFormat=P","Fill=—","Direction=H","UseDPDF=Y")</f>
        <v>63</v>
      </c>
      <c r="AF42" s="16">
        <f>_xll.BDH("AMZN US Equity","CF_ACT_CASH_PAID_FOR_INT_DEBT","FQ2 2006","FQ2 2006","Currency=USD","Period=FQ","BEST_FPERIOD_OVERRIDE=FQ","FILING_STATUS=OR","SCALING_FORMAT=MLN","Sort=A","Dates=H","DateFormat=P","Fill=—","Direction=H","UseDPDF=Y")</f>
        <v>0</v>
      </c>
      <c r="AG42" s="16">
        <f>_xll.BDH("AMZN US Equity","CF_ACT_CASH_PAID_FOR_INT_DEBT","FQ3 2006","FQ3 2006","Currency=USD","Period=FQ","BEST_FPERIOD_OVERRIDE=FQ","FILING_STATUS=OR","SCALING_FORMAT=MLN","Sort=A","Dates=H","DateFormat=P","Fill=—","Direction=H","UseDPDF=Y")</f>
        <v>22</v>
      </c>
      <c r="AH42" s="16">
        <f>_xll.BDH("AMZN US Equity","CF_ACT_CASH_PAID_FOR_INT_DEBT","FQ4 2006","FQ4 2006","Currency=USD","Period=FQ","BEST_FPERIOD_OVERRIDE=FQ","FILING_STATUS=OR","SCALING_FORMAT=MLN","Sort=A","Dates=H","DateFormat=P","Fill=—","Direction=H","UseDPDF=Y")</f>
        <v>1</v>
      </c>
      <c r="AI42" s="16">
        <f>_xll.BDH("AMZN US Equity","CF_ACT_CASH_PAID_FOR_INT_DEBT","FQ1 2007","FQ1 2007","Currency=USD","Period=FQ","BEST_FPERIOD_OVERRIDE=FQ","FILING_STATUS=OR","SCALING_FORMAT=MLN","Sort=A","Dates=H","DateFormat=P","Fill=—","Direction=H","UseDPDF=Y")</f>
        <v>43</v>
      </c>
      <c r="AJ42" s="16">
        <f>_xll.BDH("AMZN US Equity","CF_ACT_CASH_PAID_FOR_INT_DEBT","FQ2 2007","FQ2 2007","Currency=USD","Period=FQ","BEST_FPERIOD_OVERRIDE=FQ","FILING_STATUS=OR","SCALING_FORMAT=MLN","Sort=A","Dates=H","DateFormat=P","Fill=—","Direction=H","UseDPDF=Y")</f>
        <v>1</v>
      </c>
      <c r="AK42" s="16">
        <f>_xll.BDH("AMZN US Equity","CF_ACT_CASH_PAID_FOR_INT_DEBT","FQ3 2007","FQ3 2007","Currency=USD","Period=FQ","BEST_FPERIOD_OVERRIDE=FQ","FILING_STATUS=OR","SCALING_FORMAT=MLN","Sort=A","Dates=H","DateFormat=P","Fill=—","Direction=H","UseDPDF=Y")</f>
        <v>22</v>
      </c>
      <c r="AL42" s="16">
        <f>_xll.BDH("AMZN US Equity","CF_ACT_CASH_PAID_FOR_INT_DEBT","FQ4 2007","FQ4 2007","Currency=USD","Period=FQ","BEST_FPERIOD_OVERRIDE=FQ","FILING_STATUS=OR","SCALING_FORMAT=MLN","Sort=A","Dates=H","DateFormat=P","Fill=—","Direction=H","UseDPDF=Y")</f>
        <v>1</v>
      </c>
      <c r="AM42" s="16">
        <f>_xll.BDH("AMZN US Equity","CF_ACT_CASH_PAID_FOR_INT_DEBT","FQ1 2008","FQ1 2008","Currency=USD","Period=FQ","BEST_FPERIOD_OVERRIDE=FQ","FILING_STATUS=OR","SCALING_FORMAT=MLN","Sort=A","Dates=H","DateFormat=P","Fill=—","Direction=H","UseDPDF=Y")</f>
        <v>46</v>
      </c>
      <c r="AN42" s="16">
        <f>_xll.BDH("AMZN US Equity","CF_ACT_CASH_PAID_FOR_INT_DEBT","FQ2 2008","FQ2 2008","Currency=USD","Period=FQ","BEST_FPERIOD_OVERRIDE=FQ","FILING_STATUS=OR","SCALING_FORMAT=MLN","Sort=A","Dates=H","DateFormat=P","Fill=—","Direction=H","UseDPDF=Y")</f>
        <v>1</v>
      </c>
      <c r="AO42" s="16">
        <f>_xll.BDH("AMZN US Equity","CF_ACT_CASH_PAID_FOR_INT_DEBT","FQ3 2008","FQ3 2008","Currency=USD","Period=FQ","BEST_FPERIOD_OVERRIDE=FQ","FILING_STATUS=OR","SCALING_FORMAT=MLN","Sort=A","Dates=H","DateFormat=P","Fill=—","Direction=H","UseDPDF=Y")</f>
        <v>14</v>
      </c>
      <c r="AP42" s="16">
        <f>_xll.BDH("AMZN US Equity","CF_ACT_CASH_PAID_FOR_INT_DEBT","FQ4 2008","FQ4 2008","Currency=USD","Period=FQ","BEST_FPERIOD_OVERRIDE=FQ","FILING_STATUS=OR","SCALING_FORMAT=MLN","Sort=A","Dates=H","DateFormat=P","Fill=—","Direction=H","UseDPDF=Y")</f>
        <v>3</v>
      </c>
    </row>
    <row r="43" spans="1:42" x14ac:dyDescent="0.25">
      <c r="A43" s="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5">
      <c r="A44" s="6" t="s">
        <v>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1:42" x14ac:dyDescent="0.25">
      <c r="A45" s="10" t="s">
        <v>154</v>
      </c>
      <c r="B45" s="10" t="s">
        <v>154</v>
      </c>
      <c r="C45" s="13">
        <f>_xll.BDH("AMZN US Equity","EBITDA","FQ1 1999","FQ1 1999","Currency=USD","Period=FQ","BEST_FPERIOD_OVERRIDE=FQ","FILING_STATUS=OR","SCALING_FORMAT=MLN","FA_ADJUSTED=GAAP","Sort=A","Dates=H","DateFormat=P","Fill=—","Direction=H","UseDPDF=Y")</f>
        <v>-46.356000000000002</v>
      </c>
      <c r="D45" s="13">
        <f>_xll.BDH("AMZN US Equity","EBITDA","FQ2 1999","FQ2 1999","Currency=USD","Period=FQ","BEST_FPERIOD_OVERRIDE=FQ","FILING_STATUS=OR","SCALING_FORMAT=MLN","FA_ADJUSTED=GAAP","Sort=A","Dates=H","DateFormat=P","Fill=—","Direction=H","UseDPDF=Y")</f>
        <v>-100.96899999999999</v>
      </c>
      <c r="E45" s="13">
        <f>_xll.BDH("AMZN US Equity","EBITDA","FQ3 1999","FQ3 1999","Currency=USD","Period=FQ","BEST_FPERIOD_OVERRIDE=FQ","FILING_STATUS=OR","SCALING_FORMAT=MLN","FA_ADJUSTED=GAAP","Sort=A","Dates=H","DateFormat=P","Fill=—","Direction=H","UseDPDF=Y")</f>
        <v>-69.587999999999994</v>
      </c>
      <c r="F45" s="13">
        <f>_xll.BDH("AMZN US Equity","EBITDA","FQ4 1999","FQ4 1999","Currency=USD","Period=FQ","BEST_FPERIOD_OVERRIDE=FQ","FILING_STATUS=OR","SCALING_FORMAT=MLN","FA_ADJUSTED=GAAP","Sort=A","Dates=H","DateFormat=P","Fill=—","Direction=H","UseDPDF=Y")</f>
        <v>90.870999999999995</v>
      </c>
      <c r="G45" s="13">
        <f>_xll.BDH("AMZN US Equity","EBITDA","FQ1 2000","FQ1 2000","Currency=USD","Period=FQ","BEST_FPERIOD_OVERRIDE=FQ","FILING_STATUS=OR","SCALING_FORMAT=MLN","FA_ADJUSTED=GAAP","Sort=A","Dates=H","DateFormat=P","Fill=—","Direction=H","UseDPDF=Y")</f>
        <v>-81.085999999999999</v>
      </c>
      <c r="H45" s="13" t="str">
        <f>_xll.BDH("AMZN US Equity","EBITDA","FQ2 2000","FQ2 2000","Currency=USD","Period=FQ","BEST_FPERIOD_OVERRIDE=FQ","FILING_STATUS=OR","SCALING_FORMAT=MLN","FA_ADJUSTED=GAAP","Sort=A","Dates=H","DateFormat=P","Fill=—","Direction=H","UseDPDF=Y")</f>
        <v>—</v>
      </c>
      <c r="I45" s="13">
        <f>_xll.BDH("AMZN US Equity","EBITDA","FQ3 2000","FQ3 2000","Currency=USD","Period=FQ","BEST_FPERIOD_OVERRIDE=FQ","FILING_STATUS=OR","SCALING_FORMAT=MLN","FA_ADJUSTED=GAAP","Sort=A","Dates=H","DateFormat=P","Fill=—","Direction=H","UseDPDF=Y")</f>
        <v>-45.582000000000001</v>
      </c>
      <c r="J45" s="13">
        <f>_xll.BDH("AMZN US Equity","EBITDA","FQ4 2000","FQ4 2000","Currency=USD","Period=FQ","BEST_FPERIOD_OVERRIDE=FQ","FILING_STATUS=OR","SCALING_FORMAT=MLN","FA_ADJUSTED=GAAP","Sort=A","Dates=H","DateFormat=P","Fill=—","Direction=H","UseDPDF=Y")</f>
        <v>-62.002000000000002</v>
      </c>
      <c r="K45" s="13">
        <f>_xll.BDH("AMZN US Equity","EBITDA","FQ1 2001","FQ1 2001","Currency=USD","Period=FQ","BEST_FPERIOD_OVERRIDE=FQ","FILING_STATUS=OR","SCALING_FORMAT=MLN","FA_ADJUSTED=GAAP","Sort=A","Dates=H","DateFormat=P","Fill=—","Direction=H","UseDPDF=Y")</f>
        <v>-28.443999999999999</v>
      </c>
      <c r="L45" s="13">
        <f>_xll.BDH("AMZN US Equity","EBITDA","FQ2 2001","FQ2 2001","Currency=USD","Period=FQ","BEST_FPERIOD_OVERRIDE=FQ","FILING_STATUS=OR","SCALING_FORMAT=MLN","FA_ADJUSTED=GAAP","Sort=A","Dates=H","DateFormat=P","Fill=—","Direction=H","UseDPDF=Y")</f>
        <v>-9.5660000000000007</v>
      </c>
      <c r="M45" s="13">
        <f>_xll.BDH("AMZN US Equity","EBITDA","FQ3 2001","FQ3 2001","Currency=USD","Period=FQ","BEST_FPERIOD_OVERRIDE=FQ","FILING_STATUS=OR","SCALING_FORMAT=MLN","FA_ADJUSTED=GAAP","Sort=A","Dates=H","DateFormat=P","Fill=—","Direction=H","UseDPDF=Y")</f>
        <v>-4.71</v>
      </c>
      <c r="N45" s="13">
        <f>_xll.BDH("AMZN US Equity","EBITDA","FQ4 2001","FQ4 2001","Currency=USD","Period=FQ","BEST_FPERIOD_OVERRIDE=FQ","FILING_STATUS=OR","SCALING_FORMAT=MLN","FA_ADJUSTED=GAAP","Sort=A","Dates=H","DateFormat=P","Fill=—","Direction=H","UseDPDF=Y")</f>
        <v>80.356999999999999</v>
      </c>
      <c r="O45" s="13">
        <f>_xll.BDH("AMZN US Equity","EBITDA","FQ1 2002","FQ1 2002","Currency=USD","Period=FQ","BEST_FPERIOD_OVERRIDE=FQ","FILING_STATUS=OR","SCALING_FORMAT=MLN","FA_ADJUSTED=GAAP","Sort=A","Dates=H","DateFormat=P","Fill=—","Direction=H","UseDPDF=Y")</f>
        <v>34.658000000000001</v>
      </c>
      <c r="P45" s="13">
        <f>_xll.BDH("AMZN US Equity","EBITDA","FQ2 2002","FQ2 2002","Currency=USD","Period=FQ","BEST_FPERIOD_OVERRIDE=FQ","FILING_STATUS=OR","SCALING_FORMAT=MLN","FA_ADJUSTED=GAAP","Sort=A","Dates=H","DateFormat=P","Fill=—","Direction=H","UseDPDF=Y")</f>
        <v>23.815999999999999</v>
      </c>
      <c r="Q45" s="13">
        <f>_xll.BDH("AMZN US Equity","EBITDA","FQ3 2002","FQ3 2002","Currency=USD","Period=FQ","BEST_FPERIOD_OVERRIDE=FQ","FILING_STATUS=OR","SCALING_FORMAT=MLN","FA_ADJUSTED=GAAP","Sort=A","Dates=H","DateFormat=P","Fill=—","Direction=H","UseDPDF=Y")</f>
        <v>48.825000000000003</v>
      </c>
      <c r="R45" s="13">
        <f>_xll.BDH("AMZN US Equity","EBITDA","FQ4 2002","FQ4 2002","Currency=USD","Period=FQ","BEST_FPERIOD_OVERRIDE=FQ","FILING_STATUS=OR","SCALING_FORMAT=MLN","FA_ADJUSTED=GAAP","Sort=A","Dates=H","DateFormat=P","Fill=—","Direction=H","UseDPDF=Y")</f>
        <v>86.141000000000005</v>
      </c>
      <c r="S45" s="13">
        <f>_xll.BDH("AMZN US Equity","EBITDA","FQ1 2003","FQ1 2003","Currency=USD","Period=FQ","BEST_FPERIOD_OVERRIDE=FQ","FILING_STATUS=OR","SCALING_FORMAT=MLN","FA_ADJUSTED=GAAP","Sort=A","Dates=H","DateFormat=P","Fill=—","Direction=H","UseDPDF=Y")</f>
        <v>58.975000000000001</v>
      </c>
      <c r="T45" s="13">
        <f>_xll.BDH("AMZN US Equity","EBITDA","FQ2 2003","FQ2 2003","Currency=USD","Period=FQ","BEST_FPERIOD_OVERRIDE=FQ","FILING_STATUS=OR","SCALING_FORMAT=MLN","FA_ADJUSTED=GAAP","Sort=A","Dates=H","DateFormat=P","Fill=—","Direction=H","UseDPDF=Y")</f>
        <v>60.826000000000001</v>
      </c>
      <c r="U45" s="13">
        <f>_xll.BDH("AMZN US Equity","EBITDA","FQ3 2003","FQ3 2003","Currency=USD","Period=FQ","BEST_FPERIOD_OVERRIDE=FQ","FILING_STATUS=OR","SCALING_FORMAT=MLN","FA_ADJUSTED=GAAP","Sort=A","Dates=H","DateFormat=P","Fill=—","Direction=H","UseDPDF=Y")</f>
        <v>70.269000000000005</v>
      </c>
      <c r="V45" s="13">
        <f>_xll.BDH("AMZN US Equity","EBITDA","FQ4 2003","FQ4 2003","Currency=USD","Period=FQ","BEST_FPERIOD_OVERRIDE=FQ","FILING_STATUS=OR","SCALING_FORMAT=MLN","FA_ADJUSTED=GAAP","Sort=A","Dates=H","DateFormat=P","Fill=—","Direction=H","UseDPDF=Y")</f>
        <v>156.364</v>
      </c>
      <c r="W45" s="13">
        <f>_xll.BDH("AMZN US Equity","EBITDA","FQ1 2004","FQ1 2004","Currency=USD","Period=FQ","BEST_FPERIOD_OVERRIDE=FQ","FILING_STATUS=OR","SCALING_FORMAT=MLN","FA_ADJUSTED=GAAP","Sort=A","Dates=H","DateFormat=P","Fill=—","Direction=H","UseDPDF=Y")</f>
        <v>128.11600000000001</v>
      </c>
      <c r="X45" s="13">
        <f>_xll.BDH("AMZN US Equity","EBITDA","FQ2 2004","FQ2 2004","Currency=USD","Period=FQ","BEST_FPERIOD_OVERRIDE=FQ","FILING_STATUS=OR","SCALING_FORMAT=MLN","FA_ADJUSTED=GAAP","Sort=A","Dates=H","DateFormat=P","Fill=—","Direction=H","UseDPDF=Y")</f>
        <v>97.253</v>
      </c>
      <c r="Y45" s="13">
        <f>_xll.BDH("AMZN US Equity","EBITDA","FQ3 2004","FQ3 2004","Currency=USD","Period=FQ","BEST_FPERIOD_OVERRIDE=FQ","FILING_STATUS=OR","SCALING_FORMAT=MLN","FA_ADJUSTED=GAAP","Sort=A","Dates=H","DateFormat=P","Fill=—","Direction=H","UseDPDF=Y")</f>
        <v>100.357</v>
      </c>
      <c r="Z45" s="13">
        <f>_xll.BDH("AMZN US Equity","EBITDA","FQ4 2004","FQ4 2004","Currency=USD","Period=FQ","BEST_FPERIOD_OVERRIDE=FQ","FILING_STATUS=OR","SCALING_FORMAT=MLN","FA_ADJUSTED=GAAP","Sort=A","Dates=H","DateFormat=P","Fill=—","Direction=H","UseDPDF=Y")</f>
        <v>190.423</v>
      </c>
      <c r="AA45" s="13">
        <f>_xll.BDH("AMZN US Equity","EBITDA","FQ1 2005","FQ1 2005","Currency=USD","Period=FQ","BEST_FPERIOD_OVERRIDE=FQ","FILING_STATUS=OR","SCALING_FORMAT=MLN","FA_ADJUSTED=GAAP","Sort=A","Dates=H","DateFormat=P","Fill=—","Direction=H","UseDPDF=Y")</f>
        <v>136</v>
      </c>
      <c r="AB45" s="13">
        <f>_xll.BDH("AMZN US Equity","EBITDA","FQ2 2005","FQ2 2005","Currency=USD","Period=FQ","BEST_FPERIOD_OVERRIDE=FQ","FILING_STATUS=OR","SCALING_FORMAT=MLN","FA_ADJUSTED=GAAP","Sort=A","Dates=H","DateFormat=P","Fill=—","Direction=H","UseDPDF=Y")</f>
        <v>130</v>
      </c>
      <c r="AC45" s="13">
        <f>_xll.BDH("AMZN US Equity","EBITDA","FQ3 2005","FQ3 2005","Currency=USD","Period=FQ","BEST_FPERIOD_OVERRIDE=FQ","FILING_STATUS=OR","SCALING_FORMAT=MLN","FA_ADJUSTED=GAAP","Sort=A","Dates=H","DateFormat=P","Fill=—","Direction=H","UseDPDF=Y")</f>
        <v>85</v>
      </c>
      <c r="AD45" s="13">
        <f>_xll.BDH("AMZN US Equity","EBITDA","FQ4 2005","FQ4 2005","Currency=USD","Period=FQ","BEST_FPERIOD_OVERRIDE=FQ","FILING_STATUS=OR","SCALING_FORMAT=MLN","FA_ADJUSTED=GAAP","Sort=A","Dates=H","DateFormat=P","Fill=—","Direction=H","UseDPDF=Y")</f>
        <v>202</v>
      </c>
      <c r="AE45" s="13">
        <f>_xll.BDH("AMZN US Equity","EBITDA","FQ1 2006","FQ1 2006","Currency=USD","Period=FQ","BEST_FPERIOD_OVERRIDE=FQ","FILING_STATUS=OR","SCALING_FORMAT=MLN","FA_ADJUSTED=GAAP","Sort=A","Dates=H","DateFormat=P","Fill=—","Direction=H","UseDPDF=Y")</f>
        <v>146</v>
      </c>
      <c r="AF45" s="13">
        <f>_xll.BDH("AMZN US Equity","EBITDA","FQ2 2006","FQ2 2006","Currency=USD","Period=FQ","BEST_FPERIOD_OVERRIDE=FQ","FILING_STATUS=OR","SCALING_FORMAT=MLN","FA_ADJUSTED=GAAP","Sort=A","Dates=H","DateFormat=P","Fill=—","Direction=H","UseDPDF=Y")</f>
        <v>90</v>
      </c>
      <c r="AG45" s="13">
        <f>_xll.BDH("AMZN US Equity","EBITDA","FQ3 2006","FQ3 2006","Currency=USD","Period=FQ","BEST_FPERIOD_OVERRIDE=FQ","FILING_STATUS=OR","SCALING_FORMAT=MLN","FA_ADJUSTED=GAAP","Sort=A","Dates=H","DateFormat=P","Fill=—","Direction=H","UseDPDF=Y")</f>
        <v>103</v>
      </c>
      <c r="AH45" s="13">
        <f>_xll.BDH("AMZN US Equity","EBITDA","FQ4 2006","FQ4 2006","Currency=USD","Period=FQ","BEST_FPERIOD_OVERRIDE=FQ","FILING_STATUS=OR","SCALING_FORMAT=MLN","FA_ADJUSTED=GAAP","Sort=A","Dates=H","DateFormat=P","Fill=—","Direction=H","UseDPDF=Y")</f>
        <v>255</v>
      </c>
      <c r="AI45" s="13">
        <f>_xll.BDH("AMZN US Equity","EBITDA","FQ1 2007","FQ1 2007","Currency=USD","Period=FQ","BEST_FPERIOD_OVERRIDE=FQ","FILING_STATUS=OR","SCALING_FORMAT=MLN","FA_ADJUSTED=GAAP","Sort=A","Dates=H","DateFormat=P","Fill=—","Direction=H","UseDPDF=Y")</f>
        <v>207</v>
      </c>
      <c r="AJ45" s="13">
        <f>_xll.BDH("AMZN US Equity","EBITDA","FQ2 2007","FQ2 2007","Currency=USD","Period=FQ","BEST_FPERIOD_OVERRIDE=FQ","FILING_STATUS=OR","SCALING_FORMAT=MLN","FA_ADJUSTED=GAAP","Sort=A","Dates=H","DateFormat=P","Fill=—","Direction=H","UseDPDF=Y")</f>
        <v>176</v>
      </c>
      <c r="AK45" s="13">
        <f>_xll.BDH("AMZN US Equity","EBITDA","FQ3 2007","FQ3 2007","Currency=USD","Period=FQ","BEST_FPERIOD_OVERRIDE=FQ","FILING_STATUS=OR","SCALING_FORMAT=MLN","FA_ADJUSTED=GAAP","Sort=A","Dates=H","DateFormat=P","Fill=—","Direction=H","UseDPDF=Y")</f>
        <v>184</v>
      </c>
      <c r="AL45" s="13">
        <f>_xll.BDH("AMZN US Equity","EBITDA","FQ4 2007","FQ4 2007","Currency=USD","Period=FQ","BEST_FPERIOD_OVERRIDE=FQ","FILING_STATUS=OR","SCALING_FORMAT=MLN","FA_ADJUSTED=GAAP","Sort=A","Dates=H","DateFormat=P","Fill=—","Direction=H","UseDPDF=Y")</f>
        <v>334</v>
      </c>
      <c r="AM45" s="13">
        <f>_xll.BDH("AMZN US Equity","EBITDA","FQ1 2008","FQ1 2008","Currency=USD","Period=FQ","BEST_FPERIOD_OVERRIDE=FQ","FILING_STATUS=OR","SCALING_FORMAT=MLN","FA_ADJUSTED=GAAP","Sort=A","Dates=H","DateFormat=P","Fill=—","Direction=H","UseDPDF=Y")</f>
        <v>263</v>
      </c>
      <c r="AN45" s="13">
        <f>_xll.BDH("AMZN US Equity","EBITDA","FQ2 2008","FQ2 2008","Currency=USD","Period=FQ","BEST_FPERIOD_OVERRIDE=FQ","FILING_STATUS=OR","SCALING_FORMAT=MLN","FA_ADJUSTED=GAAP","Sort=A","Dates=H","DateFormat=P","Fill=—","Direction=H","UseDPDF=Y")</f>
        <v>287</v>
      </c>
      <c r="AO45" s="13">
        <f>_xll.BDH("AMZN US Equity","EBITDA","FQ3 2008","FQ3 2008","Currency=USD","Period=FQ","BEST_FPERIOD_OVERRIDE=FQ","FILING_STATUS=OR","SCALING_FORMAT=MLN","FA_ADJUSTED=GAAP","Sort=A","Dates=H","DateFormat=P","Fill=—","Direction=H","UseDPDF=Y")</f>
        <v>230</v>
      </c>
      <c r="AP45" s="13">
        <f>_xll.BDH("AMZN US Equity","EBITDA","FQ4 2008","FQ4 2008","Currency=USD","Period=FQ","BEST_FPERIOD_OVERRIDE=FQ","FILING_STATUS=OR","SCALING_FORMAT=MLN","FA_ADJUSTED=GAAP","Sort=A","Dates=H","DateFormat=P","Fill=—","Direction=H","UseDPDF=Y")</f>
        <v>349</v>
      </c>
    </row>
    <row r="46" spans="1:42" x14ac:dyDescent="0.25">
      <c r="A46" s="10" t="s">
        <v>358</v>
      </c>
      <c r="B46" s="10" t="s">
        <v>156</v>
      </c>
      <c r="C46" s="14">
        <f>_xll.BDH("AMZN US Equity","EBITDA_MARGIN","FQ1 1999","FQ1 1999","Currency=USD","Period=FQ","BEST_FPERIOD_OVERRIDE=FQ","FILING_STATUS=OR","FA_ADJUSTED=GAAP","Sort=A","Dates=H","DateFormat=P","Fill=—","Direction=H","UseDPDF=Y")</f>
        <v>-10.8283</v>
      </c>
      <c r="D46" s="14">
        <f>_xll.BDH("AMZN US Equity","EBITDA_MARGIN","FQ2 1999","FQ2 1999","Currency=USD","Period=FQ","BEST_FPERIOD_OVERRIDE=FQ","FILING_STATUS=OR","FA_ADJUSTED=GAAP","Sort=A","Dates=H","DateFormat=P","Fill=—","Direction=H","UseDPDF=Y")</f>
        <v>-17.5457</v>
      </c>
      <c r="E46" s="14">
        <f>_xll.BDH("AMZN US Equity","EBITDA_MARGIN","FQ3 1999","FQ3 1999","Currency=USD","Period=FQ","BEST_FPERIOD_OVERRIDE=FQ","FILING_STATUS=OR","FA_ADJUSTED=GAAP","Sort=A","Dates=H","DateFormat=P","Fill=—","Direction=H","UseDPDF=Y")</f>
        <v>-18.706</v>
      </c>
      <c r="F46" s="14">
        <f>_xll.BDH("AMZN US Equity","EBITDA_MARGIN","FQ4 1999","FQ4 1999","Currency=USD","Period=FQ","BEST_FPERIOD_OVERRIDE=FQ","FILING_STATUS=OR","FA_ADJUSTED=GAAP","Sort=A","Dates=H","DateFormat=P","Fill=—","Direction=H","UseDPDF=Y")</f>
        <v>-7.6862000000000004</v>
      </c>
      <c r="G46" s="14">
        <f>_xll.BDH("AMZN US Equity","EBITDA_MARGIN","FQ1 2000","FQ1 2000","Currency=USD","Period=FQ","BEST_FPERIOD_OVERRIDE=FQ","FILING_STATUS=OR","FA_ADJUSTED=GAAP","Sort=A","Dates=H","DateFormat=P","Fill=—","Direction=H","UseDPDF=Y")</f>
        <v>-8.3732000000000006</v>
      </c>
      <c r="H46" s="14" t="str">
        <f>_xll.BDH("AMZN US Equity","EBITDA_MARGIN","FQ2 2000","FQ2 2000","Currency=USD","Period=FQ","BEST_FPERIOD_OVERRIDE=FQ","FILING_STATUS=OR","FA_ADJUSTED=GAAP","Sort=A","Dates=H","DateFormat=P","Fill=—","Direction=H","UseDPDF=Y")</f>
        <v>—</v>
      </c>
      <c r="I46" s="14">
        <f>_xll.BDH("AMZN US Equity","EBITDA_MARGIN","FQ3 2000","FQ3 2000","Currency=USD","Period=FQ","BEST_FPERIOD_OVERRIDE=FQ","FILING_STATUS=OR","FA_ADJUSTED=GAAP","Sort=A","Dates=H","DateFormat=P","Fill=—","Direction=H","UseDPDF=Y")</f>
        <v>-5.1215999999999999</v>
      </c>
      <c r="J46" s="14">
        <f>_xll.BDH("AMZN US Equity","EBITDA_MARGIN","FQ4 2000","FQ4 2000","Currency=USD","Period=FQ","BEST_FPERIOD_OVERRIDE=FQ","FILING_STATUS=OR","FA_ADJUSTED=GAAP","Sort=A","Dates=H","DateFormat=P","Fill=—","Direction=H","UseDPDF=Y")</f>
        <v>-10.107100000000001</v>
      </c>
      <c r="K46" s="14">
        <f>_xll.BDH("AMZN US Equity","EBITDA_MARGIN","FQ1 2001","FQ1 2001","Currency=USD","Period=FQ","BEST_FPERIOD_OVERRIDE=FQ","FILING_STATUS=OR","FA_ADJUSTED=GAAP","Sort=A","Dates=H","DateFormat=P","Fill=—","Direction=H","UseDPDF=Y")</f>
        <v>-7.3693999999999997</v>
      </c>
      <c r="L46" s="14">
        <f>_xll.BDH("AMZN US Equity","EBITDA_MARGIN","FQ2 2001","FQ2 2001","Currency=USD","Period=FQ","BEST_FPERIOD_OVERRIDE=FQ","FILING_STATUS=OR","FA_ADJUSTED=GAAP","Sort=A","Dates=H","DateFormat=P","Fill=—","Direction=H","UseDPDF=Y")</f>
        <v>-4.8887</v>
      </c>
      <c r="M46" s="14">
        <f>_xll.BDH("AMZN US Equity","EBITDA_MARGIN","FQ3 2001","FQ3 2001","Currency=USD","Period=FQ","BEST_FPERIOD_OVERRIDE=FQ","FILING_STATUS=OR","FA_ADJUSTED=GAAP","Sort=A","Dates=H","DateFormat=P","Fill=—","Direction=H","UseDPDF=Y")</f>
        <v>-3.5145999999999997</v>
      </c>
      <c r="N46" s="14">
        <f>_xll.BDH("AMZN US Equity","EBITDA_MARGIN","FQ4 2001","FQ4 2001","Currency=USD","Period=FQ","BEST_FPERIOD_OVERRIDE=FQ","FILING_STATUS=OR","FA_ADJUSTED=GAAP","Sort=A","Dates=H","DateFormat=P","Fill=—","Direction=H","UseDPDF=Y")</f>
        <v>1.2054</v>
      </c>
      <c r="O46" s="14">
        <f>_xll.BDH("AMZN US Equity","EBITDA_MARGIN","FQ1 2002","FQ1 2002","Currency=USD","Period=FQ","BEST_FPERIOD_OVERRIDE=FQ","FILING_STATUS=OR","FA_ADJUSTED=GAAP","Sort=A","Dates=H","DateFormat=P","Fill=—","Direction=H","UseDPDF=Y")</f>
        <v>3.0811999999999999</v>
      </c>
      <c r="P46" s="14">
        <f>_xll.BDH("AMZN US Equity","EBITDA_MARGIN","FQ2 2002","FQ2 2002","Currency=USD","Period=FQ","BEST_FPERIOD_OVERRIDE=FQ","FILING_STATUS=OR","FA_ADJUSTED=GAAP","Sort=A","Dates=H","DateFormat=P","Fill=—","Direction=H","UseDPDF=Y")</f>
        <v>3.9361000000000002</v>
      </c>
      <c r="Q46" s="14">
        <f>_xll.BDH("AMZN US Equity","EBITDA_MARGIN","FQ3 2002","FQ3 2002","Currency=USD","Period=FQ","BEST_FPERIOD_OVERRIDE=FQ","FILING_STATUS=OR","FA_ADJUSTED=GAAP","Sort=A","Dates=H","DateFormat=P","Fill=—","Direction=H","UseDPDF=Y")</f>
        <v>5.1845999999999997</v>
      </c>
      <c r="R46" s="14">
        <f>_xll.BDH("AMZN US Equity","EBITDA_MARGIN","FQ4 2002","FQ4 2002","Currency=USD","Period=FQ","BEST_FPERIOD_OVERRIDE=FQ","FILING_STATUS=OR","FA_ADJUSTED=GAAP","Sort=A","Dates=H","DateFormat=P","Fill=—","Direction=H","UseDPDF=Y")</f>
        <v>4.9184999999999999</v>
      </c>
      <c r="S46" s="14">
        <f>_xll.BDH("AMZN US Equity","EBITDA_MARGIN","FQ1 2003","FQ1 2003","Currency=USD","Period=FQ","BEST_FPERIOD_OVERRIDE=FQ","FILING_STATUS=OR","FA_ADJUSTED=GAAP","Sort=A","Dates=H","DateFormat=P","Fill=—","Direction=H","UseDPDF=Y")</f>
        <v>5.2232000000000003</v>
      </c>
      <c r="T46" s="14">
        <f>_xll.BDH("AMZN US Equity","EBITDA_MARGIN","FQ2 2003","FQ2 2003","Currency=USD","Period=FQ","BEST_FPERIOD_OVERRIDE=FQ","FILING_STATUS=OR","FA_ADJUSTED=GAAP","Sort=A","Dates=H","DateFormat=P","Fill=—","Direction=H","UseDPDF=Y")</f>
        <v>5.7079000000000004</v>
      </c>
      <c r="U46" s="14">
        <f>_xll.BDH("AMZN US Equity","EBITDA_MARGIN","FQ3 2003","FQ3 2003","Currency=USD","Period=FQ","BEST_FPERIOD_OVERRIDE=FQ","FILING_STATUS=OR","FA_ADJUSTED=GAAP","Sort=A","Dates=H","DateFormat=P","Fill=—","Direction=H","UseDPDF=Y")</f>
        <v>5.8192000000000004</v>
      </c>
      <c r="V46" s="14">
        <f>_xll.BDH("AMZN US Equity","EBITDA_MARGIN","FQ4 2003","FQ4 2003","Currency=USD","Period=FQ","BEST_FPERIOD_OVERRIDE=FQ","FILING_STATUS=OR","FA_ADJUSTED=GAAP","Sort=A","Dates=H","DateFormat=P","Fill=—","Direction=H","UseDPDF=Y")</f>
        <v>6.5815999999999999</v>
      </c>
      <c r="W46" s="14">
        <f>_xll.BDH("AMZN US Equity","EBITDA_MARGIN","FQ1 2004","FQ1 2004","Currency=USD","Period=FQ","BEST_FPERIOD_OVERRIDE=FQ","FILING_STATUS=OR","FA_ADJUSTED=GAAP","Sort=A","Dates=H","DateFormat=P","Fill=—","Direction=H","UseDPDF=Y")</f>
        <v>7.2774000000000001</v>
      </c>
      <c r="X46" s="14">
        <f>_xll.BDH("AMZN US Equity","EBITDA_MARGIN","FQ2 2004","FQ2 2004","Currency=USD","Period=FQ","BEST_FPERIOD_OVERRIDE=FQ","FILING_STATUS=OR","FA_ADJUSTED=GAAP","Sort=A","Dates=H","DateFormat=P","Fill=—","Direction=H","UseDPDF=Y")</f>
        <v>7.5359999999999996</v>
      </c>
      <c r="Y46" s="14">
        <f>_xll.BDH("AMZN US Equity","EBITDA_MARGIN","FQ3 2004","FQ3 2004","Currency=USD","Period=FQ","BEST_FPERIOD_OVERRIDE=FQ","FILING_STATUS=OR","FA_ADJUSTED=GAAP","Sort=A","Dates=H","DateFormat=P","Fill=—","Direction=H","UseDPDF=Y")</f>
        <v>7.6208</v>
      </c>
      <c r="Z46" s="14">
        <f>_xll.BDH("AMZN US Equity","EBITDA_MARGIN","FQ4 2004","FQ4 2004","Currency=USD","Period=FQ","BEST_FPERIOD_OVERRIDE=FQ","FILING_STATUS=OR","FA_ADJUSTED=GAAP","Sort=A","Dates=H","DateFormat=P","Fill=—","Direction=H","UseDPDF=Y")</f>
        <v>7.4576000000000002</v>
      </c>
      <c r="AA46" s="14">
        <f>_xll.BDH("AMZN US Equity","EBITDA_MARGIN","FQ1 2005","FQ1 2005","Currency=USD","Period=FQ","BEST_FPERIOD_OVERRIDE=FQ","FILING_STATUS=OR","FA_ADJUSTED=GAAP","Sort=A","Dates=H","DateFormat=P","Fill=—","Direction=H","UseDPDF=Y")</f>
        <v>7.1856</v>
      </c>
      <c r="AB46" s="14">
        <f>_xll.BDH("AMZN US Equity","EBITDA_MARGIN","FQ2 2005","FQ2 2005","Currency=USD","Period=FQ","BEST_FPERIOD_OVERRIDE=FQ","FILING_STATUS=OR","FA_ADJUSTED=GAAP","Sort=A","Dates=H","DateFormat=P","Fill=—","Direction=H","UseDPDF=Y")</f>
        <v>7.2702</v>
      </c>
      <c r="AC46" s="14">
        <f>_xll.BDH("AMZN US Equity","EBITDA_MARGIN","FQ3 2005","FQ3 2005","Currency=USD","Period=FQ","BEST_FPERIOD_OVERRIDE=FQ","FILING_STATUS=OR","FA_ADJUSTED=GAAP","Sort=A","Dates=H","DateFormat=P","Fill=—","Direction=H","UseDPDF=Y")</f>
        <v>6.7224000000000004</v>
      </c>
      <c r="AD46" s="14">
        <f>_xll.BDH("AMZN US Equity","EBITDA_MARGIN","FQ4 2005","FQ4 2005","Currency=USD","Period=FQ","BEST_FPERIOD_OVERRIDE=FQ","FILING_STATUS=OR","FA_ADJUSTED=GAAP","Sort=A","Dates=H","DateFormat=P","Fill=—","Direction=H","UseDPDF=Y")</f>
        <v>6.5134999999999996</v>
      </c>
      <c r="AE46" s="14">
        <f>_xll.BDH("AMZN US Equity","EBITDA_MARGIN","FQ1 2006","FQ1 2006","Currency=USD","Period=FQ","BEST_FPERIOD_OVERRIDE=FQ","FILING_STATUS=OR","FA_ADJUSTED=GAAP","Sort=A","Dates=H","DateFormat=P","Fill=—","Direction=H","UseDPDF=Y")</f>
        <v>6.3494000000000002</v>
      </c>
      <c r="AF46" s="14">
        <f>_xll.BDH("AMZN US Equity","EBITDA_MARGIN","FQ2 2006","FQ2 2006","Currency=USD","Period=FQ","BEST_FPERIOD_OVERRIDE=FQ","FILING_STATUS=OR","FA_ADJUSTED=GAAP","Sort=A","Dates=H","DateFormat=P","Fill=—","Direction=H","UseDPDF=Y")</f>
        <v>5.6521999999999997</v>
      </c>
      <c r="AG46" s="14">
        <f>_xll.BDH("AMZN US Equity","EBITDA_MARGIN","FQ3 2006","FQ3 2006","Currency=USD","Period=FQ","BEST_FPERIOD_OVERRIDE=FQ","FILING_STATUS=OR","FA_ADJUSTED=GAAP","Sort=A","Dates=H","DateFormat=P","Fill=—","Direction=H","UseDPDF=Y")</f>
        <v>5.5762</v>
      </c>
      <c r="AH46" s="14">
        <f>_xll.BDH("AMZN US Equity","EBITDA_MARGIN","FQ4 2006","FQ4 2006","Currency=USD","Period=FQ","BEST_FPERIOD_OVERRIDE=FQ","FILING_STATUS=OR","FA_ADJUSTED=GAAP","Sort=A","Dates=H","DateFormat=P","Fill=—","Direction=H","UseDPDF=Y")</f>
        <v>5.5457000000000001</v>
      </c>
      <c r="AI46" s="14">
        <f>_xll.BDH("AMZN US Equity","EBITDA_MARGIN","FQ1 2007","FQ1 2007","Currency=USD","Period=FQ","BEST_FPERIOD_OVERRIDE=FQ","FILING_STATUS=OR","FA_ADJUSTED=GAAP","Sort=A","Dates=H","DateFormat=P","Fill=—","Direction=H","UseDPDF=Y")</f>
        <v>5.7219999999999995</v>
      </c>
      <c r="AJ46" s="14">
        <f>_xll.BDH("AMZN US Equity","EBITDA_MARGIN","FQ2 2007","FQ2 2007","Currency=USD","Period=FQ","BEST_FPERIOD_OVERRIDE=FQ","FILING_STATUS=OR","FA_ADJUSTED=GAAP","Sort=A","Dates=H","DateFormat=P","Fill=—","Direction=H","UseDPDF=Y")</f>
        <v>6.0768000000000004</v>
      </c>
      <c r="AK46" s="14">
        <f>_xll.BDH("AMZN US Equity","EBITDA_MARGIN","FQ3 2007","FQ3 2007","Currency=USD","Period=FQ","BEST_FPERIOD_OVERRIDE=FQ","FILING_STATUS=OR","FA_ADJUSTED=GAAP","Sort=A","Dates=H","DateFormat=P","Fill=—","Direction=H","UseDPDF=Y")</f>
        <v>6.2514000000000003</v>
      </c>
      <c r="AL46" s="14">
        <f>_xll.BDH("AMZN US Equity","EBITDA_MARGIN","FQ4 2007","FQ4 2007","Currency=USD","Period=FQ","BEST_FPERIOD_OVERRIDE=FQ","FILING_STATUS=OR","FA_ADJUSTED=GAAP","Sort=A","Dates=H","DateFormat=P","Fill=—","Direction=H","UseDPDF=Y")</f>
        <v>6.0731000000000002</v>
      </c>
      <c r="AM46" s="14">
        <f>_xll.BDH("AMZN US Equity","EBITDA_MARGIN","FQ1 2008","FQ1 2008","Currency=USD","Period=FQ","BEST_FPERIOD_OVERRIDE=FQ","FILING_STATUS=OR","FA_ADJUSTED=GAAP","Sort=A","Dates=H","DateFormat=P","Fill=—","Direction=H","UseDPDF=Y")</f>
        <v>5.9977</v>
      </c>
      <c r="AN46" s="14">
        <f>_xll.BDH("AMZN US Equity","EBITDA_MARGIN","FQ2 2008","FQ2 2008","Currency=USD","Period=FQ","BEST_FPERIOD_OVERRIDE=FQ","FILING_STATUS=OR","FA_ADJUSTED=GAAP","Sort=A","Dates=H","DateFormat=P","Fill=—","Direction=H","UseDPDF=Y")</f>
        <v>6.2336</v>
      </c>
      <c r="AO46" s="14">
        <f>_xll.BDH("AMZN US Equity","EBITDA_MARGIN","FQ3 2008","FQ3 2008","Currency=USD","Period=FQ","BEST_FPERIOD_OVERRIDE=FQ","FILING_STATUS=OR","FA_ADJUSTED=GAAP","Sort=A","Dates=H","DateFormat=P","Fill=—","Direction=H","UseDPDF=Y")</f>
        <v>6.1428000000000003</v>
      </c>
      <c r="AP46" s="14">
        <f>_xll.BDH("AMZN US Equity","EBITDA_MARGIN","FQ4 2008","FQ4 2008","Currency=USD","Period=FQ","BEST_FPERIOD_OVERRIDE=FQ","FILING_STATUS=OR","FA_ADJUSTED=GAAP","Sort=A","Dates=H","DateFormat=P","Fill=—","Direction=H","UseDPDF=Y")</f>
        <v>5.8906000000000001</v>
      </c>
    </row>
    <row r="47" spans="1:42" x14ac:dyDescent="0.25">
      <c r="A47" s="10" t="s">
        <v>359</v>
      </c>
      <c r="B47" s="10" t="s">
        <v>360</v>
      </c>
      <c r="C47" s="13" t="str">
        <f>_xll.BDH("AMZN US Equity","CF_NET_CASH_PAID_FOR_AQUIS","FQ1 1999","FQ1 1999","Currency=USD","Period=FQ","BEST_FPERIOD_OVERRIDE=FQ","FILING_STATUS=OR","SCALING_FORMAT=MLN","Sort=A","Dates=H","DateFormat=P","Fill=—","Direction=H","UseDPDF=Y")</f>
        <v>—</v>
      </c>
      <c r="D47" s="13" t="str">
        <f>_xll.BDH("AMZN US Equity","CF_NET_CASH_PAID_FOR_AQUIS","FQ2 1999","FQ2 1999","Currency=USD","Period=FQ","BEST_FPERIOD_OVERRIDE=FQ","FILING_STATUS=OR","SCALING_FORMAT=MLN","Sort=A","Dates=H","DateFormat=P","Fill=—","Direction=H","UseDPDF=Y")</f>
        <v>—</v>
      </c>
      <c r="E47" s="13" t="str">
        <f>_xll.BDH("AMZN US Equity","CF_NET_CASH_PAID_FOR_AQUIS","FQ3 1999","FQ3 1999","Currency=USD","Period=FQ","BEST_FPERIOD_OVERRIDE=FQ","FILING_STATUS=OR","SCALING_FORMAT=MLN","Sort=A","Dates=H","DateFormat=P","Fill=—","Direction=H","UseDPDF=Y")</f>
        <v>—</v>
      </c>
      <c r="F47" s="13" t="str">
        <f>_xll.BDH("AMZN US Equity","CF_NET_CASH_PAID_FOR_AQUIS","FQ4 1999","FQ4 1999","Currency=USD","Period=FQ","BEST_FPERIOD_OVERRIDE=FQ","FILING_STATUS=OR","SCALING_FORMAT=MLN","Sort=A","Dates=H","DateFormat=P","Fill=—","Direction=H","UseDPDF=Y")</f>
        <v>—</v>
      </c>
      <c r="G47" s="13" t="str">
        <f>_xll.BDH("AMZN US Equity","CF_NET_CASH_PAID_FOR_AQUIS","FQ1 2000","FQ1 2000","Currency=USD","Period=FQ","BEST_FPERIOD_OVERRIDE=FQ","FILING_STATUS=OR","SCALING_FORMAT=MLN","Sort=A","Dates=H","DateFormat=P","Fill=—","Direction=H","UseDPDF=Y")</f>
        <v>—</v>
      </c>
      <c r="H47" s="13" t="str">
        <f>_xll.BDH("AMZN US Equity","CF_NET_CASH_PAID_FOR_AQUIS","FQ2 2000","FQ2 2000","Currency=USD","Period=FQ","BEST_FPERIOD_OVERRIDE=FQ","FILING_STATUS=OR","SCALING_FORMAT=MLN","Sort=A","Dates=H","DateFormat=P","Fill=—","Direction=H","UseDPDF=Y")</f>
        <v>—</v>
      </c>
      <c r="I47" s="13" t="str">
        <f>_xll.BDH("AMZN US Equity","CF_NET_CASH_PAID_FOR_AQUIS","FQ3 2000","FQ3 2000","Currency=USD","Period=FQ","BEST_FPERIOD_OVERRIDE=FQ","FILING_STATUS=OR","SCALING_FORMAT=MLN","Sort=A","Dates=H","DateFormat=P","Fill=—","Direction=H","UseDPDF=Y")</f>
        <v>—</v>
      </c>
      <c r="J47" s="13" t="str">
        <f>_xll.BDH("AMZN US Equity","CF_NET_CASH_PAID_FOR_AQUIS","FQ4 2000","FQ4 2000","Currency=USD","Period=FQ","BEST_FPERIOD_OVERRIDE=FQ","FILING_STATUS=OR","SCALING_FORMAT=MLN","Sort=A","Dates=H","DateFormat=P","Fill=—","Direction=H","UseDPDF=Y")</f>
        <v>—</v>
      </c>
      <c r="K47" s="13">
        <f>_xll.BDH("AMZN US Equity","CF_NET_CASH_PAID_FOR_AQUIS","FQ1 2001","FQ1 2001","Currency=USD","Period=FQ","BEST_FPERIOD_OVERRIDE=FQ","FILING_STATUS=OR","SCALING_FORMAT=MLN","Sort=A","Dates=H","DateFormat=P","Fill=—","Direction=H","UseDPDF=Y")</f>
        <v>0</v>
      </c>
      <c r="L47" s="13">
        <f>_xll.BDH("AMZN US Equity","CF_NET_CASH_PAID_FOR_AQUIS","FQ2 2001","FQ2 2001","Currency=USD","Period=FQ","BEST_FPERIOD_OVERRIDE=FQ","FILING_STATUS=OR","SCALING_FORMAT=MLN","Sort=A","Dates=H","DateFormat=P","Fill=—","Direction=H","UseDPDF=Y")</f>
        <v>0</v>
      </c>
      <c r="M47" s="13">
        <f>_xll.BDH("AMZN US Equity","CF_NET_CASH_PAID_FOR_AQUIS","FQ3 2001","FQ3 2001","Currency=USD","Period=FQ","BEST_FPERIOD_OVERRIDE=FQ","FILING_STATUS=OR","SCALING_FORMAT=MLN","Sort=A","Dates=H","DateFormat=P","Fill=—","Direction=H","UseDPDF=Y")</f>
        <v>0</v>
      </c>
      <c r="N47" s="13">
        <f>_xll.BDH("AMZN US Equity","CF_NET_CASH_PAID_FOR_AQUIS","FQ4 2001","FQ4 2001","Currency=USD","Period=FQ","BEST_FPERIOD_OVERRIDE=FQ","FILING_STATUS=OR","SCALING_FORMAT=MLN","Sort=A","Dates=H","DateFormat=P","Fill=—","Direction=H","UseDPDF=Y")</f>
        <v>0</v>
      </c>
      <c r="O47" s="13">
        <f>_xll.BDH("AMZN US Equity","CF_NET_CASH_PAID_FOR_AQUIS","FQ1 2002","FQ1 2002","Currency=USD","Period=FQ","BEST_FPERIOD_OVERRIDE=FQ","FILING_STATUS=OR","SCALING_FORMAT=MLN","Sort=A","Dates=H","DateFormat=P","Fill=—","Direction=H","UseDPDF=Y")</f>
        <v>0</v>
      </c>
      <c r="P47" s="13">
        <f>_xll.BDH("AMZN US Equity","CF_NET_CASH_PAID_FOR_AQUIS","FQ2 2002","FQ2 2002","Currency=USD","Period=FQ","BEST_FPERIOD_OVERRIDE=FQ","FILING_STATUS=OR","SCALING_FORMAT=MLN","Sort=A","Dates=H","DateFormat=P","Fill=—","Direction=H","UseDPDF=Y")</f>
        <v>0</v>
      </c>
      <c r="Q47" s="13">
        <f>_xll.BDH("AMZN US Equity","CF_NET_CASH_PAID_FOR_AQUIS","FQ3 2002","FQ3 2002","Currency=USD","Period=FQ","BEST_FPERIOD_OVERRIDE=FQ","FILING_STATUS=OR","SCALING_FORMAT=MLN","Sort=A","Dates=H","DateFormat=P","Fill=—","Direction=H","UseDPDF=Y")</f>
        <v>0</v>
      </c>
      <c r="R47" s="13">
        <f>_xll.BDH("AMZN US Equity","CF_NET_CASH_PAID_FOR_AQUIS","FQ4 2002","FQ4 2002","Currency=USD","Period=FQ","BEST_FPERIOD_OVERRIDE=FQ","FILING_STATUS=OR","SCALING_FORMAT=MLN","Sort=A","Dates=H","DateFormat=P","Fill=—","Direction=H","UseDPDF=Y")</f>
        <v>0</v>
      </c>
      <c r="S47" s="13">
        <f>_xll.BDH("AMZN US Equity","CF_NET_CASH_PAID_FOR_AQUIS","FQ1 2003","FQ1 2003","Currency=USD","Period=FQ","BEST_FPERIOD_OVERRIDE=FQ","FILING_STATUS=OR","SCALING_FORMAT=MLN","Sort=A","Dates=H","DateFormat=P","Fill=—","Direction=H","UseDPDF=Y")</f>
        <v>0</v>
      </c>
      <c r="T47" s="13">
        <f>_xll.BDH("AMZN US Equity","CF_NET_CASH_PAID_FOR_AQUIS","FQ2 2003","FQ2 2003","Currency=USD","Period=FQ","BEST_FPERIOD_OVERRIDE=FQ","FILING_STATUS=OR","SCALING_FORMAT=MLN","Sort=A","Dates=H","DateFormat=P","Fill=—","Direction=H","UseDPDF=Y")</f>
        <v>0</v>
      </c>
      <c r="U47" s="13">
        <f>_xll.BDH("AMZN US Equity","CF_NET_CASH_PAID_FOR_AQUIS","FQ3 2003","FQ3 2003","Currency=USD","Period=FQ","BEST_FPERIOD_OVERRIDE=FQ","FILING_STATUS=OR","SCALING_FORMAT=MLN","Sort=A","Dates=H","DateFormat=P","Fill=—","Direction=H","UseDPDF=Y")</f>
        <v>0</v>
      </c>
      <c r="V47" s="13">
        <f>_xll.BDH("AMZN US Equity","CF_NET_CASH_PAID_FOR_AQUIS","FQ4 2003","FQ4 2003","Currency=USD","Period=FQ","BEST_FPERIOD_OVERRIDE=FQ","FILING_STATUS=OR","SCALING_FORMAT=MLN","Sort=A","Dates=H","DateFormat=P","Fill=—","Direction=H","UseDPDF=Y")</f>
        <v>0</v>
      </c>
      <c r="W47" s="13">
        <f>_xll.BDH("AMZN US Equity","CF_NET_CASH_PAID_FOR_AQUIS","FQ1 2004","FQ1 2004","Currency=USD","Period=FQ","BEST_FPERIOD_OVERRIDE=FQ","FILING_STATUS=OR","SCALING_FORMAT=MLN","Sort=A","Dates=H","DateFormat=P","Fill=—","Direction=H","UseDPDF=Y")</f>
        <v>0</v>
      </c>
      <c r="X47" s="13">
        <f>_xll.BDH("AMZN US Equity","CF_NET_CASH_PAID_FOR_AQUIS","FQ2 2004","FQ2 2004","Currency=USD","Period=FQ","BEST_FPERIOD_OVERRIDE=FQ","FILING_STATUS=OR","SCALING_FORMAT=MLN","Sort=A","Dates=H","DateFormat=P","Fill=—","Direction=H","UseDPDF=Y")</f>
        <v>0</v>
      </c>
      <c r="Y47" s="13">
        <f>_xll.BDH("AMZN US Equity","CF_NET_CASH_PAID_FOR_AQUIS","FQ3 2004","FQ3 2004","Currency=USD","Period=FQ","BEST_FPERIOD_OVERRIDE=FQ","FILING_STATUS=OR","SCALING_FORMAT=MLN","Sort=A","Dates=H","DateFormat=P","Fill=—","Direction=H","UseDPDF=Y")</f>
        <v>71.194999999999993</v>
      </c>
      <c r="Z47" s="13">
        <f>_xll.BDH("AMZN US Equity","CF_NET_CASH_PAID_FOR_AQUIS","FQ4 2004","FQ4 2004","Currency=USD","Period=FQ","BEST_FPERIOD_OVERRIDE=FQ","FILING_STATUS=OR","SCALING_FORMAT=MLN","Sort=A","Dates=H","DateFormat=P","Fill=—","Direction=H","UseDPDF=Y")</f>
        <v>0</v>
      </c>
      <c r="AA47" s="13">
        <f>_xll.BDH("AMZN US Equity","CF_NET_CASH_PAID_FOR_AQUIS","FQ1 2005","FQ1 2005","Currency=USD","Period=FQ","BEST_FPERIOD_OVERRIDE=FQ","FILING_STATUS=OR","SCALING_FORMAT=MLN","Sort=A","Dates=H","DateFormat=P","Fill=—","Direction=H","UseDPDF=Y")</f>
        <v>15</v>
      </c>
      <c r="AB47" s="13">
        <f>_xll.BDH("AMZN US Equity","CF_NET_CASH_PAID_FOR_AQUIS","FQ2 2005","FQ2 2005","Currency=USD","Period=FQ","BEST_FPERIOD_OVERRIDE=FQ","FILING_STATUS=OR","SCALING_FORMAT=MLN","Sort=A","Dates=H","DateFormat=P","Fill=—","Direction=H","UseDPDF=Y")</f>
        <v>5</v>
      </c>
      <c r="AC47" s="13">
        <f>_xll.BDH("AMZN US Equity","CF_NET_CASH_PAID_FOR_AQUIS","FQ3 2005","FQ3 2005","Currency=USD","Period=FQ","BEST_FPERIOD_OVERRIDE=FQ","FILING_STATUS=OR","SCALING_FORMAT=MLN","Sort=A","Dates=H","DateFormat=P","Fill=—","Direction=H","UseDPDF=Y")</f>
        <v>4</v>
      </c>
      <c r="AD47" s="13">
        <f>_xll.BDH("AMZN US Equity","CF_NET_CASH_PAID_FOR_AQUIS","FQ4 2005","FQ4 2005","Currency=USD","Period=FQ","BEST_FPERIOD_OVERRIDE=FQ","FILING_STATUS=OR","SCALING_FORMAT=MLN","Sort=A","Dates=H","DateFormat=P","Fill=—","Direction=H","UseDPDF=Y")</f>
        <v>0</v>
      </c>
      <c r="AE47" s="13">
        <f>_xll.BDH("AMZN US Equity","CF_NET_CASH_PAID_FOR_AQUIS","FQ1 2006","FQ1 2006","Currency=USD","Period=FQ","BEST_FPERIOD_OVERRIDE=FQ","FILING_STATUS=OR","SCALING_FORMAT=MLN","Sort=A","Dates=H","DateFormat=P","Fill=—","Direction=H","UseDPDF=Y")</f>
        <v>28</v>
      </c>
      <c r="AF47" s="13">
        <f>_xll.BDH("AMZN US Equity","CF_NET_CASH_PAID_FOR_AQUIS","FQ2 2006","FQ2 2006","Currency=USD","Period=FQ","BEST_FPERIOD_OVERRIDE=FQ","FILING_STATUS=OR","SCALING_FORMAT=MLN","Sort=A","Dates=H","DateFormat=P","Fill=—","Direction=H","UseDPDF=Y")</f>
        <v>0</v>
      </c>
      <c r="AG47" s="13">
        <f>_xll.BDH("AMZN US Equity","CF_NET_CASH_PAID_FOR_AQUIS","FQ3 2006","FQ3 2006","Currency=USD","Period=FQ","BEST_FPERIOD_OVERRIDE=FQ","FILING_STATUS=OR","SCALING_FORMAT=MLN","Sort=A","Dates=H","DateFormat=P","Fill=—","Direction=H","UseDPDF=Y")</f>
        <v>2</v>
      </c>
      <c r="AH47" s="13">
        <f>_xll.BDH("AMZN US Equity","CF_NET_CASH_PAID_FOR_AQUIS","FQ4 2006","FQ4 2006","Currency=USD","Period=FQ","BEST_FPERIOD_OVERRIDE=FQ","FILING_STATUS=OR","SCALING_FORMAT=MLN","Sort=A","Dates=H","DateFormat=P","Fill=—","Direction=H","UseDPDF=Y")</f>
        <v>2</v>
      </c>
      <c r="AI47" s="13">
        <f>_xll.BDH("AMZN US Equity","CF_NET_CASH_PAID_FOR_AQUIS","FQ1 2007","FQ1 2007","Currency=USD","Period=FQ","BEST_FPERIOD_OVERRIDE=FQ","FILING_STATUS=OR","SCALING_FORMAT=MLN","Sort=A","Dates=H","DateFormat=P","Fill=—","Direction=H","UseDPDF=Y")</f>
        <v>1</v>
      </c>
      <c r="AJ47" s="13">
        <f>_xll.BDH("AMZN US Equity","CF_NET_CASH_PAID_FOR_AQUIS","FQ2 2007","FQ2 2007","Currency=USD","Period=FQ","BEST_FPERIOD_OVERRIDE=FQ","FILING_STATUS=OR","SCALING_FORMAT=MLN","Sort=A","Dates=H","DateFormat=P","Fill=—","Direction=H","UseDPDF=Y")</f>
        <v>22</v>
      </c>
      <c r="AK47" s="13">
        <f>_xll.BDH("AMZN US Equity","CF_NET_CASH_PAID_FOR_AQUIS","FQ3 2007","FQ3 2007","Currency=USD","Period=FQ","BEST_FPERIOD_OVERRIDE=FQ","FILING_STATUS=OR","SCALING_FORMAT=MLN","Sort=A","Dates=H","DateFormat=P","Fill=—","Direction=H","UseDPDF=Y")</f>
        <v>24</v>
      </c>
      <c r="AL47" s="13">
        <f>_xll.BDH("AMZN US Equity","CF_NET_CASH_PAID_FOR_AQUIS","FQ4 2007","FQ4 2007","Currency=USD","Period=FQ","BEST_FPERIOD_OVERRIDE=FQ","FILING_STATUS=OR","SCALING_FORMAT=MLN","Sort=A","Dates=H","DateFormat=P","Fill=—","Direction=H","UseDPDF=Y")</f>
        <v>29</v>
      </c>
      <c r="AM47" s="13">
        <f>_xll.BDH("AMZN US Equity","CF_NET_CASH_PAID_FOR_AQUIS","FQ1 2008","FQ1 2008","Currency=USD","Period=FQ","BEST_FPERIOD_OVERRIDE=FQ","FILING_STATUS=OR","SCALING_FORMAT=MLN","Sort=A","Dates=H","DateFormat=P","Fill=—","Direction=H","UseDPDF=Y")</f>
        <v>355</v>
      </c>
      <c r="AN47" s="13">
        <f>_xll.BDH("AMZN US Equity","CF_NET_CASH_PAID_FOR_AQUIS","FQ2 2008","FQ2 2008","Currency=USD","Period=FQ","BEST_FPERIOD_OVERRIDE=FQ","FILING_STATUS=OR","SCALING_FORMAT=MLN","Sort=A","Dates=H","DateFormat=P","Fill=—","Direction=H","UseDPDF=Y")</f>
        <v>44</v>
      </c>
      <c r="AO47" s="13">
        <f>_xll.BDH("AMZN US Equity","CF_NET_CASH_PAID_FOR_AQUIS","FQ3 2008","FQ3 2008","Currency=USD","Period=FQ","BEST_FPERIOD_OVERRIDE=FQ","FILING_STATUS=OR","SCALING_FORMAT=MLN","Sort=A","Dates=H","DateFormat=P","Fill=—","Direction=H","UseDPDF=Y")</f>
        <v>8</v>
      </c>
      <c r="AP47" s="13">
        <f>_xll.BDH("AMZN US Equity","CF_NET_CASH_PAID_FOR_AQUIS","FQ4 2008","FQ4 2008","Currency=USD","Period=FQ","BEST_FPERIOD_OVERRIDE=FQ","FILING_STATUS=OR","SCALING_FORMAT=MLN","Sort=A","Dates=H","DateFormat=P","Fill=—","Direction=H","UseDPDF=Y")</f>
        <v>87</v>
      </c>
    </row>
    <row r="48" spans="1:42" x14ac:dyDescent="0.25">
      <c r="A48" s="10" t="s">
        <v>361</v>
      </c>
      <c r="B48" s="10" t="s">
        <v>362</v>
      </c>
      <c r="C48" s="13" t="str">
        <f>_xll.BDH("AMZN US Equity","CF_TAX_BENEFIT_FRM_STOCK_OPTIONS","FQ1 1999","FQ1 1999","Currency=USD","Period=FQ","BEST_FPERIOD_OVERRIDE=FQ","FILING_STATUS=OR","SCALING_FORMAT=MLN","Sort=A","Dates=H","DateFormat=P","Fill=—","Direction=H","UseDPDF=Y")</f>
        <v>—</v>
      </c>
      <c r="D48" s="13" t="str">
        <f>_xll.BDH("AMZN US Equity","CF_TAX_BENEFIT_FRM_STOCK_OPTIONS","FQ2 1999","FQ2 1999","Currency=USD","Period=FQ","BEST_FPERIOD_OVERRIDE=FQ","FILING_STATUS=OR","SCALING_FORMAT=MLN","Sort=A","Dates=H","DateFormat=P","Fill=—","Direction=H","UseDPDF=Y")</f>
        <v>—</v>
      </c>
      <c r="E48" s="13" t="str">
        <f>_xll.BDH("AMZN US Equity","CF_TAX_BENEFIT_FRM_STOCK_OPTIONS","FQ3 1999","FQ3 1999","Currency=USD","Period=FQ","BEST_FPERIOD_OVERRIDE=FQ","FILING_STATUS=OR","SCALING_FORMAT=MLN","Sort=A","Dates=H","DateFormat=P","Fill=—","Direction=H","UseDPDF=Y")</f>
        <v>—</v>
      </c>
      <c r="F48" s="13" t="str">
        <f>_xll.BDH("AMZN US Equity","CF_TAX_BENEFIT_FRM_STOCK_OPTIONS","FQ4 1999","FQ4 1999","Currency=USD","Period=FQ","BEST_FPERIOD_OVERRIDE=FQ","FILING_STATUS=OR","SCALING_FORMAT=MLN","Sort=A","Dates=H","DateFormat=P","Fill=—","Direction=H","UseDPDF=Y")</f>
        <v>—</v>
      </c>
      <c r="G48" s="13" t="str">
        <f>_xll.BDH("AMZN US Equity","CF_TAX_BENEFIT_FRM_STOCK_OPTIONS","FQ1 2000","FQ1 2000","Currency=USD","Period=FQ","BEST_FPERIOD_OVERRIDE=FQ","FILING_STATUS=OR","SCALING_FORMAT=MLN","Sort=A","Dates=H","DateFormat=P","Fill=—","Direction=H","UseDPDF=Y")</f>
        <v>—</v>
      </c>
      <c r="H48" s="13" t="str">
        <f>_xll.BDH("AMZN US Equity","CF_TAX_BENEFIT_FRM_STOCK_OPTIONS","FQ2 2000","FQ2 2000","Currency=USD","Period=FQ","BEST_FPERIOD_OVERRIDE=FQ","FILING_STATUS=OR","SCALING_FORMAT=MLN","Sort=A","Dates=H","DateFormat=P","Fill=—","Direction=H","UseDPDF=Y")</f>
        <v>—</v>
      </c>
      <c r="I48" s="13" t="str">
        <f>_xll.BDH("AMZN US Equity","CF_TAX_BENEFIT_FRM_STOCK_OPTIONS","FQ3 2000","FQ3 2000","Currency=USD","Period=FQ","BEST_FPERIOD_OVERRIDE=FQ","FILING_STATUS=OR","SCALING_FORMAT=MLN","Sort=A","Dates=H","DateFormat=P","Fill=—","Direction=H","UseDPDF=Y")</f>
        <v>—</v>
      </c>
      <c r="J48" s="13" t="str">
        <f>_xll.BDH("AMZN US Equity","CF_TAX_BENEFIT_FRM_STOCK_OPTIONS","FQ4 2000","FQ4 2000","Currency=USD","Period=FQ","BEST_FPERIOD_OVERRIDE=FQ","FILING_STATUS=OR","SCALING_FORMAT=MLN","Sort=A","Dates=H","DateFormat=P","Fill=—","Direction=H","UseDPDF=Y")</f>
        <v>—</v>
      </c>
      <c r="K48" s="13" t="str">
        <f>_xll.BDH("AMZN US Equity","CF_TAX_BENEFIT_FRM_STOCK_OPTIONS","FQ1 2001","FQ1 2001","Currency=USD","Period=FQ","BEST_FPERIOD_OVERRIDE=FQ","FILING_STATUS=OR","SCALING_FORMAT=MLN","Sort=A","Dates=H","DateFormat=P","Fill=—","Direction=H","UseDPDF=Y")</f>
        <v>—</v>
      </c>
      <c r="L48" s="13" t="str">
        <f>_xll.BDH("AMZN US Equity","CF_TAX_BENEFIT_FRM_STOCK_OPTIONS","FQ2 2001","FQ2 2001","Currency=USD","Period=FQ","BEST_FPERIOD_OVERRIDE=FQ","FILING_STATUS=OR","SCALING_FORMAT=MLN","Sort=A","Dates=H","DateFormat=P","Fill=—","Direction=H","UseDPDF=Y")</f>
        <v>—</v>
      </c>
      <c r="M48" s="13" t="str">
        <f>_xll.BDH("AMZN US Equity","CF_TAX_BENEFIT_FRM_STOCK_OPTIONS","FQ3 2001","FQ3 2001","Currency=USD","Period=FQ","BEST_FPERIOD_OVERRIDE=FQ","FILING_STATUS=OR","SCALING_FORMAT=MLN","Sort=A","Dates=H","DateFormat=P","Fill=—","Direction=H","UseDPDF=Y")</f>
        <v>—</v>
      </c>
      <c r="N48" s="13" t="str">
        <f>_xll.BDH("AMZN US Equity","CF_TAX_BENEFIT_FRM_STOCK_OPTIONS","FQ4 2001","FQ4 2001","Currency=USD","Period=FQ","BEST_FPERIOD_OVERRIDE=FQ","FILING_STATUS=OR","SCALING_FORMAT=MLN","Sort=A","Dates=H","DateFormat=P","Fill=—","Direction=H","UseDPDF=Y")</f>
        <v>—</v>
      </c>
      <c r="O48" s="13" t="str">
        <f>_xll.BDH("AMZN US Equity","CF_TAX_BENEFIT_FRM_STOCK_OPTIONS","FQ1 2002","FQ1 2002","Currency=USD","Period=FQ","BEST_FPERIOD_OVERRIDE=FQ","FILING_STATUS=OR","SCALING_FORMAT=MLN","Sort=A","Dates=H","DateFormat=P","Fill=—","Direction=H","UseDPDF=Y")</f>
        <v>—</v>
      </c>
      <c r="P48" s="13" t="str">
        <f>_xll.BDH("AMZN US Equity","CF_TAX_BENEFIT_FRM_STOCK_OPTIONS","FQ2 2002","FQ2 2002","Currency=USD","Period=FQ","BEST_FPERIOD_OVERRIDE=FQ","FILING_STATUS=OR","SCALING_FORMAT=MLN","Sort=A","Dates=H","DateFormat=P","Fill=—","Direction=H","UseDPDF=Y")</f>
        <v>—</v>
      </c>
      <c r="Q48" s="13" t="str">
        <f>_xll.BDH("AMZN US Equity","CF_TAX_BENEFIT_FRM_STOCK_OPTIONS","FQ3 2002","FQ3 2002","Currency=USD","Period=FQ","BEST_FPERIOD_OVERRIDE=FQ","FILING_STATUS=OR","SCALING_FORMAT=MLN","Sort=A","Dates=H","DateFormat=P","Fill=—","Direction=H","UseDPDF=Y")</f>
        <v>—</v>
      </c>
      <c r="R48" s="13" t="str">
        <f>_xll.BDH("AMZN US Equity","CF_TAX_BENEFIT_FRM_STOCK_OPTIONS","FQ4 2002","FQ4 2002","Currency=USD","Period=FQ","BEST_FPERIOD_OVERRIDE=FQ","FILING_STATUS=OR","SCALING_FORMAT=MLN","Sort=A","Dates=H","DateFormat=P","Fill=—","Direction=H","UseDPDF=Y")</f>
        <v>—</v>
      </c>
      <c r="S48" s="13" t="str">
        <f>_xll.BDH("AMZN US Equity","CF_TAX_BENEFIT_FRM_STOCK_OPTIONS","FQ1 2003","FQ1 2003","Currency=USD","Period=FQ","BEST_FPERIOD_OVERRIDE=FQ","FILING_STATUS=OR","SCALING_FORMAT=MLN","Sort=A","Dates=H","DateFormat=P","Fill=—","Direction=H","UseDPDF=Y")</f>
        <v>—</v>
      </c>
      <c r="T48" s="13" t="str">
        <f>_xll.BDH("AMZN US Equity","CF_TAX_BENEFIT_FRM_STOCK_OPTIONS","FQ2 2003","FQ2 2003","Currency=USD","Period=FQ","BEST_FPERIOD_OVERRIDE=FQ","FILING_STATUS=OR","SCALING_FORMAT=MLN","Sort=A","Dates=H","DateFormat=P","Fill=—","Direction=H","UseDPDF=Y")</f>
        <v>—</v>
      </c>
      <c r="U48" s="13" t="str">
        <f>_xll.BDH("AMZN US Equity","CF_TAX_BENEFIT_FRM_STOCK_OPTIONS","FQ3 2003","FQ3 2003","Currency=USD","Period=FQ","BEST_FPERIOD_OVERRIDE=FQ","FILING_STATUS=OR","SCALING_FORMAT=MLN","Sort=A","Dates=H","DateFormat=P","Fill=—","Direction=H","UseDPDF=Y")</f>
        <v>—</v>
      </c>
      <c r="V48" s="13" t="str">
        <f>_xll.BDH("AMZN US Equity","CF_TAX_BENEFIT_FRM_STOCK_OPTIONS","FQ4 2003","FQ4 2003","Currency=USD","Period=FQ","BEST_FPERIOD_OVERRIDE=FQ","FILING_STATUS=OR","SCALING_FORMAT=MLN","Sort=A","Dates=H","DateFormat=P","Fill=—","Direction=H","UseDPDF=Y")</f>
        <v>—</v>
      </c>
      <c r="W48" s="13" t="str">
        <f>_xll.BDH("AMZN US Equity","CF_TAX_BENEFIT_FRM_STOCK_OPTIONS","FQ1 2004","FQ1 2004","Currency=USD","Period=FQ","BEST_FPERIOD_OVERRIDE=FQ","FILING_STATUS=OR","SCALING_FORMAT=MLN","Sort=A","Dates=H","DateFormat=P","Fill=—","Direction=H","UseDPDF=Y")</f>
        <v>—</v>
      </c>
      <c r="X48" s="13" t="str">
        <f>_xll.BDH("AMZN US Equity","CF_TAX_BENEFIT_FRM_STOCK_OPTIONS","FQ2 2004","FQ2 2004","Currency=USD","Period=FQ","BEST_FPERIOD_OVERRIDE=FQ","FILING_STATUS=OR","SCALING_FORMAT=MLN","Sort=A","Dates=H","DateFormat=P","Fill=—","Direction=H","UseDPDF=Y")</f>
        <v>—</v>
      </c>
      <c r="Y48" s="13" t="str">
        <f>_xll.BDH("AMZN US Equity","CF_TAX_BENEFIT_FRM_STOCK_OPTIONS","FQ3 2004","FQ3 2004","Currency=USD","Period=FQ","BEST_FPERIOD_OVERRIDE=FQ","FILING_STATUS=OR","SCALING_FORMAT=MLN","Sort=A","Dates=H","DateFormat=P","Fill=—","Direction=H","UseDPDF=Y")</f>
        <v>—</v>
      </c>
      <c r="Z48" s="13" t="str">
        <f>_xll.BDH("AMZN US Equity","CF_TAX_BENEFIT_FRM_STOCK_OPTIONS","FQ4 2004","FQ4 2004","Currency=USD","Period=FQ","BEST_FPERIOD_OVERRIDE=FQ","FILING_STATUS=OR","SCALING_FORMAT=MLN","Sort=A","Dates=H","DateFormat=P","Fill=—","Direction=H","UseDPDF=Y")</f>
        <v>—</v>
      </c>
      <c r="AA48" s="13" t="str">
        <f>_xll.BDH("AMZN US Equity","CF_TAX_BENEFIT_FRM_STOCK_OPTIONS","FQ1 2005","FQ1 2005","Currency=USD","Period=FQ","BEST_FPERIOD_OVERRIDE=FQ","FILING_STATUS=OR","SCALING_FORMAT=MLN","Sort=A","Dates=H","DateFormat=P","Fill=—","Direction=H","UseDPDF=Y")</f>
        <v>—</v>
      </c>
      <c r="AB48" s="13" t="str">
        <f>_xll.BDH("AMZN US Equity","CF_TAX_BENEFIT_FRM_STOCK_OPTIONS","FQ2 2005","FQ2 2005","Currency=USD","Period=FQ","BEST_FPERIOD_OVERRIDE=FQ","FILING_STATUS=OR","SCALING_FORMAT=MLN","Sort=A","Dates=H","DateFormat=P","Fill=—","Direction=H","UseDPDF=Y")</f>
        <v>—</v>
      </c>
      <c r="AC48" s="13" t="str">
        <f>_xll.BDH("AMZN US Equity","CF_TAX_BENEFIT_FRM_STOCK_OPTIONS","FQ3 2005","FQ3 2005","Currency=USD","Period=FQ","BEST_FPERIOD_OVERRIDE=FQ","FILING_STATUS=OR","SCALING_FORMAT=MLN","Sort=A","Dates=H","DateFormat=P","Fill=—","Direction=H","UseDPDF=Y")</f>
        <v>—</v>
      </c>
      <c r="AD48" s="13">
        <f>_xll.BDH("AMZN US Equity","CF_TAX_BENEFIT_FRM_STOCK_OPTIONS","FQ4 2005","FQ4 2005","Currency=USD","Period=FQ","BEST_FPERIOD_OVERRIDE=FQ","FILING_STATUS=OR","SCALING_FORMAT=MLN","Sort=A","Dates=H","DateFormat=P","Fill=—","Direction=H","UseDPDF=Y")</f>
        <v>10</v>
      </c>
      <c r="AE48" s="13">
        <f>_xll.BDH("AMZN US Equity","CF_TAX_BENEFIT_FRM_STOCK_OPTIONS","FQ1 2006","FQ1 2006","Currency=USD","Period=FQ","BEST_FPERIOD_OVERRIDE=FQ","FILING_STATUS=OR","SCALING_FORMAT=MLN","Sort=A","Dates=H","DateFormat=P","Fill=—","Direction=H","UseDPDF=Y")</f>
        <v>7</v>
      </c>
      <c r="AF48" s="13">
        <f>_xll.BDH("AMZN US Equity","CF_TAX_BENEFIT_FRM_STOCK_OPTIONS","FQ2 2006","FQ2 2006","Currency=USD","Period=FQ","BEST_FPERIOD_OVERRIDE=FQ","FILING_STATUS=OR","SCALING_FORMAT=MLN","Sort=A","Dates=H","DateFormat=P","Fill=—","Direction=H","UseDPDF=Y")</f>
        <v>21</v>
      </c>
      <c r="AG48" s="13">
        <f>_xll.BDH("AMZN US Equity","CF_TAX_BENEFIT_FRM_STOCK_OPTIONS","FQ3 2006","FQ3 2006","Currency=USD","Period=FQ","BEST_FPERIOD_OVERRIDE=FQ","FILING_STATUS=OR","SCALING_FORMAT=MLN","Sort=A","Dates=H","DateFormat=P","Fill=—","Direction=H","UseDPDF=Y")</f>
        <v>9</v>
      </c>
      <c r="AH48" s="13">
        <f>_xll.BDH("AMZN US Equity","CF_TAX_BENEFIT_FRM_STOCK_OPTIONS","FQ4 2006","FQ4 2006","Currency=USD","Period=FQ","BEST_FPERIOD_OVERRIDE=FQ","FILING_STATUS=OR","SCALING_FORMAT=MLN","Sort=A","Dates=H","DateFormat=P","Fill=—","Direction=H","UseDPDF=Y")</f>
        <v>65</v>
      </c>
      <c r="AI48" s="13">
        <f>_xll.BDH("AMZN US Equity","CF_TAX_BENEFIT_FRM_STOCK_OPTIONS","FQ1 2007","FQ1 2007","Currency=USD","Period=FQ","BEST_FPERIOD_OVERRIDE=FQ","FILING_STATUS=OR","SCALING_FORMAT=MLN","Sort=A","Dates=H","DateFormat=P","Fill=—","Direction=H","UseDPDF=Y")</f>
        <v>24</v>
      </c>
      <c r="AJ48" s="13">
        <f>_xll.BDH("AMZN US Equity","CF_TAX_BENEFIT_FRM_STOCK_OPTIONS","FQ2 2007","FQ2 2007","Currency=USD","Period=FQ","BEST_FPERIOD_OVERRIDE=FQ","FILING_STATUS=OR","SCALING_FORMAT=MLN","Sort=A","Dates=H","DateFormat=P","Fill=—","Direction=H","UseDPDF=Y")</f>
        <v>35</v>
      </c>
      <c r="AK48" s="13">
        <f>_xll.BDH("AMZN US Equity","CF_TAX_BENEFIT_FRM_STOCK_OPTIONS","FQ3 2007","FQ3 2007","Currency=USD","Period=FQ","BEST_FPERIOD_OVERRIDE=FQ","FILING_STATUS=OR","SCALING_FORMAT=MLN","Sort=A","Dates=H","DateFormat=P","Fill=—","Direction=H","UseDPDF=Y")</f>
        <v>34</v>
      </c>
      <c r="AL48" s="13">
        <f>_xll.BDH("AMZN US Equity","CF_TAX_BENEFIT_FRM_STOCK_OPTIONS","FQ4 2007","FQ4 2007","Currency=USD","Period=FQ","BEST_FPERIOD_OVERRIDE=FQ","FILING_STATUS=OR","SCALING_FORMAT=MLN","Sort=A","Dates=H","DateFormat=P","Fill=—","Direction=H","UseDPDF=Y")</f>
        <v>164</v>
      </c>
      <c r="AM48" s="13">
        <f>_xll.BDH("AMZN US Equity","CF_TAX_BENEFIT_FRM_STOCK_OPTIONS","FQ1 2008","FQ1 2008","Currency=USD","Period=FQ","BEST_FPERIOD_OVERRIDE=FQ","FILING_STATUS=OR","SCALING_FORMAT=MLN","Sort=A","Dates=H","DateFormat=P","Fill=—","Direction=H","UseDPDF=Y")</f>
        <v>64</v>
      </c>
      <c r="AN48" s="13">
        <f>_xll.BDH("AMZN US Equity","CF_TAX_BENEFIT_FRM_STOCK_OPTIONS","FQ2 2008","FQ2 2008","Currency=USD","Period=FQ","BEST_FPERIOD_OVERRIDE=FQ","FILING_STATUS=OR","SCALING_FORMAT=MLN","Sort=A","Dates=H","DateFormat=P","Fill=—","Direction=H","UseDPDF=Y")</f>
        <v>43</v>
      </c>
      <c r="AO48" s="13">
        <f>_xll.BDH("AMZN US Equity","CF_TAX_BENEFIT_FRM_STOCK_OPTIONS","FQ3 2008","FQ3 2008","Currency=USD","Period=FQ","BEST_FPERIOD_OVERRIDE=FQ","FILING_STATUS=OR","SCALING_FORMAT=MLN","Sort=A","Dates=H","DateFormat=P","Fill=—","Direction=H","UseDPDF=Y")</f>
        <v>53</v>
      </c>
      <c r="AP48" s="13">
        <f>_xll.BDH("AMZN US Equity","CF_TAX_BENEFIT_FRM_STOCK_OPTIONS","FQ4 2008","FQ4 2008","Currency=USD","Period=FQ","BEST_FPERIOD_OVERRIDE=FQ","FILING_STATUS=OR","SCALING_FORMAT=MLN","Sort=A","Dates=H","DateFormat=P","Fill=—","Direction=H","UseDPDF=Y")</f>
        <v>-1</v>
      </c>
    </row>
    <row r="49" spans="1:42" x14ac:dyDescent="0.25">
      <c r="A49" s="10" t="s">
        <v>363</v>
      </c>
      <c r="B49" s="10" t="s">
        <v>364</v>
      </c>
      <c r="C49" s="13">
        <f>_xll.BDH("AMZN US Equity","CF_FREE_CASH_FLOW","FQ1 1999","FQ1 1999","Currency=USD","Period=FQ","BEST_FPERIOD_OVERRIDE=FQ","FILING_STATUS=OR","SCALING_FORMAT=MLN","Sort=A","Dates=H","DateFormat=P","Fill=—","Direction=H","UseDPDF=Y")</f>
        <v>-36.256</v>
      </c>
      <c r="D49" s="13">
        <f>_xll.BDH("AMZN US Equity","CF_FREE_CASH_FLOW","FQ2 1999","FQ2 1999","Currency=USD","Period=FQ","BEST_FPERIOD_OVERRIDE=FQ","FILING_STATUS=OR","SCALING_FORMAT=MLN","Sort=A","Dates=H","DateFormat=P","Fill=—","Direction=H","UseDPDF=Y")</f>
        <v>-121.649</v>
      </c>
      <c r="E49" s="13">
        <f>_xll.BDH("AMZN US Equity","CF_FREE_CASH_FLOW","FQ3 1999","FQ3 1999","Currency=USD","Period=FQ","BEST_FPERIOD_OVERRIDE=FQ","FILING_STATUS=OR","SCALING_FORMAT=MLN","Sort=A","Dates=H","DateFormat=P","Fill=—","Direction=H","UseDPDF=Y")</f>
        <v>-146.33500000000001</v>
      </c>
      <c r="F49" s="13">
        <f>_xll.BDH("AMZN US Equity","CF_FREE_CASH_FLOW","FQ4 1999","FQ4 1999","Currency=USD","Period=FQ","BEST_FPERIOD_OVERRIDE=FQ","FILING_STATUS=OR","SCALING_FORMAT=MLN","Sort=A","Dates=H","DateFormat=P","Fill=—","Direction=H","UseDPDF=Y")</f>
        <v>-73.69</v>
      </c>
      <c r="G49" s="13">
        <f>_xll.BDH("AMZN US Equity","CF_FREE_CASH_FLOW","FQ1 2000","FQ1 2000","Currency=USD","Period=FQ","BEST_FPERIOD_OVERRIDE=FQ","FILING_STATUS=OR","SCALING_FORMAT=MLN","Sort=A","Dates=H","DateFormat=P","Fill=—","Direction=H","UseDPDF=Y")</f>
        <v>-346.97899999999998</v>
      </c>
      <c r="H49" s="13">
        <f>_xll.BDH("AMZN US Equity","CF_FREE_CASH_FLOW","FQ2 2000","FQ2 2000","Currency=USD","Period=FQ","BEST_FPERIOD_OVERRIDE=FQ","FILING_STATUS=OR","SCALING_FORMAT=MLN","Sort=A","Dates=H","DateFormat=P","Fill=—","Direction=H","UseDPDF=Y")</f>
        <v>-82.906999999999996</v>
      </c>
      <c r="I49" s="13">
        <f>_xll.BDH("AMZN US Equity","CF_FREE_CASH_FLOW","FQ3 2000","FQ3 2000","Currency=USD","Period=FQ","BEST_FPERIOD_OVERRIDE=FQ","FILING_STATUS=OR","SCALING_FORMAT=MLN","Sort=A","Dates=H","DateFormat=P","Fill=—","Direction=H","UseDPDF=Y")</f>
        <v>-45.636000000000003</v>
      </c>
      <c r="J49" s="13">
        <f>_xll.BDH("AMZN US Equity","CF_FREE_CASH_FLOW","FQ4 2000","FQ4 2000","Currency=USD","Period=FQ","BEST_FPERIOD_OVERRIDE=FQ","FILING_STATUS=OR","SCALING_FORMAT=MLN","Sort=A","Dates=H","DateFormat=P","Fill=—","Direction=H","UseDPDF=Y")</f>
        <v>226.62799999999999</v>
      </c>
      <c r="K49" s="13">
        <f>_xll.BDH("AMZN US Equity","CF_FREE_CASH_FLOW","FQ1 2001","FQ1 2001","Currency=USD","Period=FQ","BEST_FPERIOD_OVERRIDE=FQ","FILING_STATUS=OR","SCALING_FORMAT=MLN","Sort=A","Dates=H","DateFormat=P","Fill=—","Direction=H","UseDPDF=Y")</f>
        <v>-426.42099999999999</v>
      </c>
      <c r="L49" s="13">
        <f>_xll.BDH("AMZN US Equity","CF_FREE_CASH_FLOW","FQ2 2001","FQ2 2001","Currency=USD","Period=FQ","BEST_FPERIOD_OVERRIDE=FQ","FILING_STATUS=OR","SCALING_FORMAT=MLN","Sort=A","Dates=H","DateFormat=P","Fill=—","Direction=H","UseDPDF=Y")</f>
        <v>-7.9399999999999995</v>
      </c>
      <c r="M49" s="13">
        <f>_xll.BDH("AMZN US Equity","CF_FREE_CASH_FLOW","FQ3 2001","FQ3 2001","Currency=USD","Period=FQ","BEST_FPERIOD_OVERRIDE=FQ","FILING_STATUS=OR","SCALING_FORMAT=MLN","Sort=A","Dates=H","DateFormat=P","Fill=—","Direction=H","UseDPDF=Y")</f>
        <v>-77.328000000000003</v>
      </c>
      <c r="N49" s="13">
        <f>_xll.BDH("AMZN US Equity","CF_FREE_CASH_FLOW","FQ4 2001","FQ4 2001","Currency=USD","Period=FQ","BEST_FPERIOD_OVERRIDE=FQ","FILING_STATUS=OR","SCALING_FORMAT=MLN","Sort=A","Dates=H","DateFormat=P","Fill=—","Direction=H","UseDPDF=Y")</f>
        <v>341.58600000000001</v>
      </c>
      <c r="O49" s="13">
        <f>_xll.BDH("AMZN US Equity","CF_FREE_CASH_FLOW","FQ1 2002","FQ1 2002","Currency=USD","Period=FQ","BEST_FPERIOD_OVERRIDE=FQ","FILING_STATUS=OR","SCALING_FORMAT=MLN","Sort=A","Dates=H","DateFormat=P","Fill=—","Direction=H","UseDPDF=Y")</f>
        <v>-245.887</v>
      </c>
      <c r="P49" s="13">
        <f>_xll.BDH("AMZN US Equity","CF_FREE_CASH_FLOW","FQ2 2002","FQ2 2002","Currency=USD","Period=FQ","BEST_FPERIOD_OVERRIDE=FQ","FILING_STATUS=OR","SCALING_FORMAT=MLN","Sort=A","Dates=H","DateFormat=P","Fill=—","Direction=H","UseDPDF=Y")</f>
        <v>-2.8029999999999999</v>
      </c>
      <c r="Q49" s="13">
        <f>_xll.BDH("AMZN US Equity","CF_FREE_CASH_FLOW","FQ3 2002","FQ3 2002","Currency=USD","Period=FQ","BEST_FPERIOD_OVERRIDE=FQ","FILING_STATUS=OR","SCALING_FORMAT=MLN","Sort=A","Dates=H","DateFormat=P","Fill=—","Direction=H","UseDPDF=Y")</f>
        <v>26.754999999999999</v>
      </c>
      <c r="R49" s="13">
        <f>_xll.BDH("AMZN US Equity","CF_FREE_CASH_FLOW","FQ4 2002","FQ4 2002","Currency=USD","Period=FQ","BEST_FPERIOD_OVERRIDE=FQ","FILING_STATUS=OR","SCALING_FORMAT=MLN","Sort=A","Dates=H","DateFormat=P","Fill=—","Direction=H","UseDPDF=Y")</f>
        <v>357.06299999999999</v>
      </c>
      <c r="S49" s="13">
        <f>_xll.BDH("AMZN US Equity","CF_FREE_CASH_FLOW","FQ1 2003","FQ1 2003","Currency=USD","Period=FQ","BEST_FPERIOD_OVERRIDE=FQ","FILING_STATUS=OR","SCALING_FORMAT=MLN","Sort=A","Dates=H","DateFormat=P","Fill=—","Direction=H","UseDPDF=Y")</f>
        <v>-258.17599999999999</v>
      </c>
      <c r="T49" s="13">
        <f>_xll.BDH("AMZN US Equity","CF_FREE_CASH_FLOW","FQ2 2003","FQ2 2003","Currency=USD","Period=FQ","BEST_FPERIOD_OVERRIDE=FQ","FILING_STATUS=OR","SCALING_FORMAT=MLN","Sort=A","Dates=H","DateFormat=P","Fill=—","Direction=H","UseDPDF=Y")</f>
        <v>118.883</v>
      </c>
      <c r="U49" s="13">
        <f>_xll.BDH("AMZN US Equity","CF_FREE_CASH_FLOW","FQ3 2003","FQ3 2003","Currency=USD","Period=FQ","BEST_FPERIOD_OVERRIDE=FQ","FILING_STATUS=OR","SCALING_FORMAT=MLN","Sort=A","Dates=H","DateFormat=P","Fill=—","Direction=H","UseDPDF=Y")</f>
        <v>21.625</v>
      </c>
      <c r="V49" s="13">
        <f>_xll.BDH("AMZN US Equity","CF_FREE_CASH_FLOW","FQ4 2003","FQ4 2003","Currency=USD","Period=FQ","BEST_FPERIOD_OVERRIDE=FQ","FILING_STATUS=OR","SCALING_FORMAT=MLN","Sort=A","Dates=H","DateFormat=P","Fill=—","Direction=H","UseDPDF=Y")</f>
        <v>463.72699999999998</v>
      </c>
      <c r="W49" s="13">
        <f>_xll.BDH("AMZN US Equity","CF_FREE_CASH_FLOW","FQ1 2004","FQ1 2004","Currency=USD","Period=FQ","BEST_FPERIOD_OVERRIDE=FQ","FILING_STATUS=OR","SCALING_FORMAT=MLN","Sort=A","Dates=H","DateFormat=P","Fill=—","Direction=H","UseDPDF=Y")</f>
        <v>-260.20100000000002</v>
      </c>
      <c r="X49" s="13">
        <f>_xll.BDH("AMZN US Equity","CF_FREE_CASH_FLOW","FQ2 2004","FQ2 2004","Currency=USD","Period=FQ","BEST_FPERIOD_OVERRIDE=FQ","FILING_STATUS=OR","SCALING_FORMAT=MLN","Sort=A","Dates=H","DateFormat=P","Fill=—","Direction=H","UseDPDF=Y")</f>
        <v>128.893</v>
      </c>
      <c r="Y49" s="13">
        <f>_xll.BDH("AMZN US Equity","CF_FREE_CASH_FLOW","FQ3 2004","FQ3 2004","Currency=USD","Period=FQ","BEST_FPERIOD_OVERRIDE=FQ","FILING_STATUS=OR","SCALING_FORMAT=MLN","Sort=A","Dates=H","DateFormat=P","Fill=—","Direction=H","UseDPDF=Y")</f>
        <v>87.923000000000002</v>
      </c>
      <c r="Z49" s="13">
        <f>_xll.BDH("AMZN US Equity","CF_FREE_CASH_FLOW","FQ4 2004","FQ4 2004","Currency=USD","Period=FQ","BEST_FPERIOD_OVERRIDE=FQ","FILING_STATUS=OR","SCALING_FORMAT=MLN","Sort=A","Dates=H","DateFormat=P","Fill=—","Direction=H","UseDPDF=Y")</f>
        <v>520.81200000000001</v>
      </c>
      <c r="AA49" s="13">
        <f>_xll.BDH("AMZN US Equity","CF_FREE_CASH_FLOW","FQ1 2005","FQ1 2005","Currency=USD","Period=FQ","BEST_FPERIOD_OVERRIDE=FQ","FILING_STATUS=OR","SCALING_FORMAT=MLN","Sort=A","Dates=H","DateFormat=P","Fill=—","Direction=H","UseDPDF=Y")</f>
        <v>-320</v>
      </c>
      <c r="AB49" s="13">
        <f>_xll.BDH("AMZN US Equity","CF_FREE_CASH_FLOW","FQ2 2005","FQ2 2005","Currency=USD","Period=FQ","BEST_FPERIOD_OVERRIDE=FQ","FILING_STATUS=OR","SCALING_FORMAT=MLN","Sort=A","Dates=H","DateFormat=P","Fill=—","Direction=H","UseDPDF=Y")</f>
        <v>198</v>
      </c>
      <c r="AC49" s="13">
        <f>_xll.BDH("AMZN US Equity","CF_FREE_CASH_FLOW","FQ3 2005","FQ3 2005","Currency=USD","Period=FQ","BEST_FPERIOD_OVERRIDE=FQ","FILING_STATUS=OR","SCALING_FORMAT=MLN","Sort=A","Dates=H","DateFormat=P","Fill=—","Direction=H","UseDPDF=Y")</f>
        <v>77</v>
      </c>
      <c r="AD49" s="13">
        <f>_xll.BDH("AMZN US Equity","CF_FREE_CASH_FLOW","FQ4 2005","FQ4 2005","Currency=USD","Period=FQ","BEST_FPERIOD_OVERRIDE=FQ","FILING_STATUS=OR","SCALING_FORMAT=MLN","Sort=A","Dates=H","DateFormat=P","Fill=—","Direction=H","UseDPDF=Y")</f>
        <v>574</v>
      </c>
      <c r="AE49" s="13">
        <f>_xll.BDH("AMZN US Equity","CF_FREE_CASH_FLOW","FQ1 2006","FQ1 2006","Currency=USD","Period=FQ","BEST_FPERIOD_OVERRIDE=FQ","FILING_STATUS=OR","SCALING_FORMAT=MLN","Sort=A","Dates=H","DateFormat=P","Fill=—","Direction=H","UseDPDF=Y")</f>
        <v>-349</v>
      </c>
      <c r="AF49" s="13">
        <f>_xll.BDH("AMZN US Equity","CF_FREE_CASH_FLOW","FQ2 2006","FQ2 2006","Currency=USD","Period=FQ","BEST_FPERIOD_OVERRIDE=FQ","FILING_STATUS=OR","SCALING_FORMAT=MLN","Sort=A","Dates=H","DateFormat=P","Fill=—","Direction=H","UseDPDF=Y")</f>
        <v>72</v>
      </c>
      <c r="AG49" s="13">
        <f>_xll.BDH("AMZN US Equity","CF_FREE_CASH_FLOW","FQ3 2006","FQ3 2006","Currency=USD","Period=FQ","BEST_FPERIOD_OVERRIDE=FQ","FILING_STATUS=OR","SCALING_FORMAT=MLN","Sort=A","Dates=H","DateFormat=P","Fill=—","Direction=H","UseDPDF=Y")</f>
        <v>68</v>
      </c>
      <c r="AH49" s="13">
        <f>_xll.BDH("AMZN US Equity","CF_FREE_CASH_FLOW","FQ4 2006","FQ4 2006","Currency=USD","Period=FQ","BEST_FPERIOD_OVERRIDE=FQ","FILING_STATUS=OR","SCALING_FORMAT=MLN","Sort=A","Dates=H","DateFormat=P","Fill=—","Direction=H","UseDPDF=Y")</f>
        <v>695</v>
      </c>
      <c r="AI49" s="13">
        <f>_xll.BDH("AMZN US Equity","CF_FREE_CASH_FLOW","FQ1 2007","FQ1 2007","Currency=USD","Period=FQ","BEST_FPERIOD_OVERRIDE=FQ","FILING_STATUS=OR","SCALING_FORMAT=MLN","Sort=A","Dates=H","DateFormat=P","Fill=—","Direction=H","UseDPDF=Y")</f>
        <v>-313</v>
      </c>
      <c r="AJ49" s="13">
        <f>_xll.BDH("AMZN US Equity","CF_FREE_CASH_FLOW","FQ2 2007","FQ2 2007","Currency=USD","Period=FQ","BEST_FPERIOD_OVERRIDE=FQ","FILING_STATUS=OR","SCALING_FORMAT=MLN","Sort=A","Dates=H","DateFormat=P","Fill=—","Direction=H","UseDPDF=Y")</f>
        <v>252</v>
      </c>
      <c r="AK49" s="13">
        <f>_xll.BDH("AMZN US Equity","CF_FREE_CASH_FLOW","FQ3 2007","FQ3 2007","Currency=USD","Period=FQ","BEST_FPERIOD_OVERRIDE=FQ","FILING_STATUS=OR","SCALING_FORMAT=MLN","Sort=A","Dates=H","DateFormat=P","Fill=—","Direction=H","UseDPDF=Y")</f>
        <v>168</v>
      </c>
      <c r="AL49" s="13">
        <f>_xll.BDH("AMZN US Equity","CF_FREE_CASH_FLOW","FQ4 2007","FQ4 2007","Currency=USD","Period=FQ","BEST_FPERIOD_OVERRIDE=FQ","FILING_STATUS=OR","SCALING_FORMAT=MLN","Sort=A","Dates=H","DateFormat=P","Fill=—","Direction=H","UseDPDF=Y")</f>
        <v>1076</v>
      </c>
      <c r="AM49" s="13">
        <f>_xll.BDH("AMZN US Equity","CF_FREE_CASH_FLOW","FQ1 2008","FQ1 2008","Currency=USD","Period=FQ","BEST_FPERIOD_OVERRIDE=FQ","FILING_STATUS=OR","SCALING_FORMAT=MLN","Sort=A","Dates=H","DateFormat=P","Fill=—","Direction=H","UseDPDF=Y")</f>
        <v>-706</v>
      </c>
      <c r="AN49" s="13">
        <f>_xll.BDH("AMZN US Equity","CF_FREE_CASH_FLOW","FQ2 2008","FQ2 2008","Currency=USD","Period=FQ","BEST_FPERIOD_OVERRIDE=FQ","FILING_STATUS=OR","SCALING_FORMAT=MLN","Sort=A","Dates=H","DateFormat=P","Fill=—","Direction=H","UseDPDF=Y")</f>
        <v>278</v>
      </c>
      <c r="AO49" s="13">
        <f>_xll.BDH("AMZN US Equity","CF_FREE_CASH_FLOW","FQ3 2008","FQ3 2008","Currency=USD","Period=FQ","BEST_FPERIOD_OVERRIDE=FQ","FILING_STATUS=OR","SCALING_FORMAT=MLN","Sort=A","Dates=H","DateFormat=P","Fill=—","Direction=H","UseDPDF=Y")</f>
        <v>322</v>
      </c>
      <c r="AP49" s="13">
        <f>_xll.BDH("AMZN US Equity","CF_FREE_CASH_FLOW","FQ4 2008","FQ4 2008","Currency=USD","Period=FQ","BEST_FPERIOD_OVERRIDE=FQ","FILING_STATUS=OR","SCALING_FORMAT=MLN","Sort=A","Dates=H","DateFormat=P","Fill=—","Direction=H","UseDPDF=Y")</f>
        <v>1470</v>
      </c>
    </row>
    <row r="50" spans="1:42" x14ac:dyDescent="0.25">
      <c r="A50" s="10" t="s">
        <v>365</v>
      </c>
      <c r="B50" s="10" t="s">
        <v>366</v>
      </c>
      <c r="C50" s="13" t="str">
        <f>_xll.BDH("AMZN US Equity","CF_FREE_CASH_FLOW_FIRM","FQ1 1999","FQ1 1999","Currency=USD","Period=FQ","BEST_FPERIOD_OVERRIDE=FQ","FILING_STATUS=OR","SCALING_FORMAT=MLN","FA_ADJUSTED=GAAP","Sort=A","Dates=H","DateFormat=P","Fill=—","Direction=H","UseDPDF=Y")</f>
        <v>—</v>
      </c>
      <c r="D50" s="13" t="str">
        <f>_xll.BDH("AMZN US Equity","CF_FREE_CASH_FLOW_FIRM","FQ2 1999","FQ2 1999","Currency=USD","Period=FQ","BEST_FPERIOD_OVERRIDE=FQ","FILING_STATUS=OR","SCALING_FORMAT=MLN","FA_ADJUSTED=GAAP","Sort=A","Dates=H","DateFormat=P","Fill=—","Direction=H","UseDPDF=Y")</f>
        <v>—</v>
      </c>
      <c r="E50" s="13" t="str">
        <f>_xll.BDH("AMZN US Equity","CF_FREE_CASH_FLOW_FIRM","FQ3 1999","FQ3 1999","Currency=USD","Period=FQ","BEST_FPERIOD_OVERRIDE=FQ","FILING_STATUS=OR","SCALING_FORMAT=MLN","FA_ADJUSTED=GAAP","Sort=A","Dates=H","DateFormat=P","Fill=—","Direction=H","UseDPDF=Y")</f>
        <v>—</v>
      </c>
      <c r="F50" s="13" t="str">
        <f>_xll.BDH("AMZN US Equity","CF_FREE_CASH_FLOW_FIRM","FQ4 1999","FQ4 1999","Currency=USD","Period=FQ","BEST_FPERIOD_OVERRIDE=FQ","FILING_STATUS=OR","SCALING_FORMAT=MLN","FA_ADJUSTED=GAAP","Sort=A","Dates=H","DateFormat=P","Fill=—","Direction=H","UseDPDF=Y")</f>
        <v>—</v>
      </c>
      <c r="G50" s="13" t="str">
        <f>_xll.BDH("AMZN US Equity","CF_FREE_CASH_FLOW_FIRM","FQ1 2000","FQ1 2000","Currency=USD","Period=FQ","BEST_FPERIOD_OVERRIDE=FQ","FILING_STATUS=OR","SCALING_FORMAT=MLN","FA_ADJUSTED=GAAP","Sort=A","Dates=H","DateFormat=P","Fill=—","Direction=H","UseDPDF=Y")</f>
        <v>—</v>
      </c>
      <c r="H50" s="13" t="str">
        <f>_xll.BDH("AMZN US Equity","CF_FREE_CASH_FLOW_FIRM","FQ2 2000","FQ2 2000","Currency=USD","Period=FQ","BEST_FPERIOD_OVERRIDE=FQ","FILING_STATUS=OR","SCALING_FORMAT=MLN","FA_ADJUSTED=GAAP","Sort=A","Dates=H","DateFormat=P","Fill=—","Direction=H","UseDPDF=Y")</f>
        <v>—</v>
      </c>
      <c r="I50" s="13" t="str">
        <f>_xll.BDH("AMZN US Equity","CF_FREE_CASH_FLOW_FIRM","FQ3 2000","FQ3 2000","Currency=USD","Period=FQ","BEST_FPERIOD_OVERRIDE=FQ","FILING_STATUS=OR","SCALING_FORMAT=MLN","FA_ADJUSTED=GAAP","Sort=A","Dates=H","DateFormat=P","Fill=—","Direction=H","UseDPDF=Y")</f>
        <v>—</v>
      </c>
      <c r="J50" s="13" t="str">
        <f>_xll.BDH("AMZN US Equity","CF_FREE_CASH_FLOW_FIRM","FQ4 2000","FQ4 2000","Currency=USD","Period=FQ","BEST_FPERIOD_OVERRIDE=FQ","FILING_STATUS=OR","SCALING_FORMAT=MLN","FA_ADJUSTED=GAAP","Sort=A","Dates=H","DateFormat=P","Fill=—","Direction=H","UseDPDF=Y")</f>
        <v>—</v>
      </c>
      <c r="K50" s="13" t="str">
        <f>_xll.BDH("AMZN US Equity","CF_FREE_CASH_FLOW_FIRM","FQ1 2001","FQ1 2001","Currency=USD","Period=FQ","BEST_FPERIOD_OVERRIDE=FQ","FILING_STATUS=OR","SCALING_FORMAT=MLN","FA_ADJUSTED=GAAP","Sort=A","Dates=H","DateFormat=P","Fill=—","Direction=H","UseDPDF=Y")</f>
        <v>—</v>
      </c>
      <c r="L50" s="13" t="str">
        <f>_xll.BDH("AMZN US Equity","CF_FREE_CASH_FLOW_FIRM","FQ2 2001","FQ2 2001","Currency=USD","Period=FQ","BEST_FPERIOD_OVERRIDE=FQ","FILING_STATUS=OR","SCALING_FORMAT=MLN","FA_ADJUSTED=GAAP","Sort=A","Dates=H","DateFormat=P","Fill=—","Direction=H","UseDPDF=Y")</f>
        <v>—</v>
      </c>
      <c r="M50" s="13" t="str">
        <f>_xll.BDH("AMZN US Equity","CF_FREE_CASH_FLOW_FIRM","FQ3 2001","FQ3 2001","Currency=USD","Period=FQ","BEST_FPERIOD_OVERRIDE=FQ","FILING_STATUS=OR","SCALING_FORMAT=MLN","FA_ADJUSTED=GAAP","Sort=A","Dates=H","DateFormat=P","Fill=—","Direction=H","UseDPDF=Y")</f>
        <v>—</v>
      </c>
      <c r="N50" s="13">
        <f>_xll.BDH("AMZN US Equity","CF_FREE_CASH_FLOW_FIRM","FQ4 2001","FQ4 2001","Currency=USD","Period=FQ","BEST_FPERIOD_OVERRIDE=FQ","FILING_STATUS=OR","SCALING_FORMAT=MLN","FA_ADJUSTED=GAAP","Sort=A","Dates=H","DateFormat=P","Fill=—","Direction=H","UseDPDF=Y")</f>
        <v>376.87599999999998</v>
      </c>
      <c r="O50" s="13" t="str">
        <f>_xll.BDH("AMZN US Equity","CF_FREE_CASH_FLOW_FIRM","FQ1 2002","FQ1 2002","Currency=USD","Period=FQ","BEST_FPERIOD_OVERRIDE=FQ","FILING_STATUS=OR","SCALING_FORMAT=MLN","FA_ADJUSTED=GAAP","Sort=A","Dates=H","DateFormat=P","Fill=—","Direction=H","UseDPDF=Y")</f>
        <v>—</v>
      </c>
      <c r="P50" s="13" t="str">
        <f>_xll.BDH("AMZN US Equity","CF_FREE_CASH_FLOW_FIRM","FQ2 2002","FQ2 2002","Currency=USD","Period=FQ","BEST_FPERIOD_OVERRIDE=FQ","FILING_STATUS=OR","SCALING_FORMAT=MLN","FA_ADJUSTED=GAAP","Sort=A","Dates=H","DateFormat=P","Fill=—","Direction=H","UseDPDF=Y")</f>
        <v>—</v>
      </c>
      <c r="Q50" s="13" t="str">
        <f>_xll.BDH("AMZN US Equity","CF_FREE_CASH_FLOW_FIRM","FQ3 2002","FQ3 2002","Currency=USD","Period=FQ","BEST_FPERIOD_OVERRIDE=FQ","FILING_STATUS=OR","SCALING_FORMAT=MLN","FA_ADJUSTED=GAAP","Sort=A","Dates=H","DateFormat=P","Fill=—","Direction=H","UseDPDF=Y")</f>
        <v>—</v>
      </c>
      <c r="R50" s="13">
        <f>_xll.BDH("AMZN US Equity","CF_FREE_CASH_FLOW_FIRM","FQ4 2002","FQ4 2002","Currency=USD","Period=FQ","BEST_FPERIOD_OVERRIDE=FQ","FILING_STATUS=OR","SCALING_FORMAT=MLN","FA_ADJUSTED=GAAP","Sort=A","Dates=H","DateFormat=P","Fill=—","Direction=H","UseDPDF=Y")</f>
        <v>393.17099999999999</v>
      </c>
      <c r="S50" s="13" t="str">
        <f>_xll.BDH("AMZN US Equity","CF_FREE_CASH_FLOW_FIRM","FQ1 2003","FQ1 2003","Currency=USD","Period=FQ","BEST_FPERIOD_OVERRIDE=FQ","FILING_STATUS=OR","SCALING_FORMAT=MLN","FA_ADJUSTED=GAAP","Sort=A","Dates=H","DateFormat=P","Fill=—","Direction=H","UseDPDF=Y")</f>
        <v>—</v>
      </c>
      <c r="T50" s="13" t="str">
        <f>_xll.BDH("AMZN US Equity","CF_FREE_CASH_FLOW_FIRM","FQ2 2003","FQ2 2003","Currency=USD","Period=FQ","BEST_FPERIOD_OVERRIDE=FQ","FILING_STATUS=OR","SCALING_FORMAT=MLN","FA_ADJUSTED=GAAP","Sort=A","Dates=H","DateFormat=P","Fill=—","Direction=H","UseDPDF=Y")</f>
        <v>—</v>
      </c>
      <c r="U50" s="13">
        <f>_xll.BDH("AMZN US Equity","CF_FREE_CASH_FLOW_FIRM","FQ3 2003","FQ3 2003","Currency=USD","Period=FQ","BEST_FPERIOD_OVERRIDE=FQ","FILING_STATUS=OR","SCALING_FORMAT=MLN","FA_ADJUSTED=GAAP","Sort=A","Dates=H","DateFormat=P","Fill=—","Direction=H","UseDPDF=Y")</f>
        <v>51.427</v>
      </c>
      <c r="V50" s="13">
        <f>_xll.BDH("AMZN US Equity","CF_FREE_CASH_FLOW_FIRM","FQ4 2003","FQ4 2003","Currency=USD","Period=FQ","BEST_FPERIOD_OVERRIDE=FQ","FILING_STATUS=OR","SCALING_FORMAT=MLN","FA_ADJUSTED=GAAP","Sort=A","Dates=H","DateFormat=P","Fill=—","Direction=H","UseDPDF=Y")</f>
        <v>493.02600000000001</v>
      </c>
      <c r="W50" s="13">
        <f>_xll.BDH("AMZN US Equity","CF_FREE_CASH_FLOW_FIRM","FQ1 2004","FQ1 2004","Currency=USD","Period=FQ","BEST_FPERIOD_OVERRIDE=FQ","FILING_STATUS=OR","SCALING_FORMAT=MLN","FA_ADJUSTED=GAAP","Sort=A","Dates=H","DateFormat=P","Fill=—","Direction=H","UseDPDF=Y")</f>
        <v>-232.47</v>
      </c>
      <c r="X50" s="13">
        <f>_xll.BDH("AMZN US Equity","CF_FREE_CASH_FLOW_FIRM","FQ2 2004","FQ2 2004","Currency=USD","Period=FQ","BEST_FPERIOD_OVERRIDE=FQ","FILING_STATUS=OR","SCALING_FORMAT=MLN","FA_ADJUSTED=GAAP","Sort=A","Dates=H","DateFormat=P","Fill=—","Direction=H","UseDPDF=Y")</f>
        <v>154.94800000000001</v>
      </c>
      <c r="Y50" s="13">
        <f>_xll.BDH("AMZN US Equity","CF_FREE_CASH_FLOW_FIRM","FQ3 2004","FQ3 2004","Currency=USD","Period=FQ","BEST_FPERIOD_OVERRIDE=FQ","FILING_STATUS=OR","SCALING_FORMAT=MLN","FA_ADJUSTED=GAAP","Sort=A","Dates=H","DateFormat=P","Fill=—","Direction=H","UseDPDF=Y")</f>
        <v>114.23</v>
      </c>
      <c r="Z50" s="13" t="str">
        <f>_xll.BDH("AMZN US Equity","CF_FREE_CASH_FLOW_FIRM","FQ4 2004","FQ4 2004","Currency=USD","Period=FQ","BEST_FPERIOD_OVERRIDE=FQ","FILING_STATUS=OR","SCALING_FORMAT=MLN","FA_ADJUSTED=GAAP","Sort=A","Dates=H","DateFormat=P","Fill=—","Direction=H","UseDPDF=Y")</f>
        <v>—</v>
      </c>
      <c r="AA50" s="13">
        <f>_xll.BDH("AMZN US Equity","CF_FREE_CASH_FLOW_FIRM","FQ1 2005","FQ1 2005","Currency=USD","Period=FQ","BEST_FPERIOD_OVERRIDE=FQ","FILING_STATUS=OR","SCALING_FORMAT=MLN","FA_ADJUSTED=GAAP","Sort=A","Dates=H","DateFormat=P","Fill=—","Direction=H","UseDPDF=Y")</f>
        <v>-307.48149999999998</v>
      </c>
      <c r="AB50" s="13">
        <f>_xll.BDH("AMZN US Equity","CF_FREE_CASH_FLOW_FIRM","FQ2 2005","FQ2 2005","Currency=USD","Period=FQ","BEST_FPERIOD_OVERRIDE=FQ","FILING_STATUS=OR","SCALING_FORMAT=MLN","FA_ADJUSTED=GAAP","Sort=A","Dates=H","DateFormat=P","Fill=—","Direction=H","UseDPDF=Y")</f>
        <v>208.5926</v>
      </c>
      <c r="AC50" s="13">
        <f>_xll.BDH("AMZN US Equity","CF_FREE_CASH_FLOW_FIRM","FQ3 2005","FQ3 2005","Currency=USD","Period=FQ","BEST_FPERIOD_OVERRIDE=FQ","FILING_STATUS=OR","SCALING_FORMAT=MLN","FA_ADJUSTED=GAAP","Sort=A","Dates=H","DateFormat=P","Fill=—","Direction=H","UseDPDF=Y")</f>
        <v>89.941199999999995</v>
      </c>
      <c r="AD50" s="13">
        <f>_xll.BDH("AMZN US Equity","CF_FREE_CASH_FLOW_FIRM","FQ4 2005","FQ4 2005","Currency=USD","Period=FQ","BEST_FPERIOD_OVERRIDE=FQ","FILING_STATUS=OR","SCALING_FORMAT=MLN","FA_ADJUSTED=GAAP","Sort=A","Dates=H","DateFormat=P","Fill=—","Direction=H","UseDPDF=Y")</f>
        <v>591.11680000000001</v>
      </c>
      <c r="AE50" s="13">
        <f>_xll.BDH("AMZN US Equity","CF_FREE_CASH_FLOW_FIRM","FQ1 2006","FQ1 2006","Currency=USD","Period=FQ","BEST_FPERIOD_OVERRIDE=FQ","FILING_STATUS=OR","SCALING_FORMAT=MLN","FA_ADJUSTED=GAAP","Sort=A","Dates=H","DateFormat=P","Fill=—","Direction=H","UseDPDF=Y")</f>
        <v>-337.84379999999999</v>
      </c>
      <c r="AF50" s="13">
        <f>_xll.BDH("AMZN US Equity","CF_FREE_CASH_FLOW_FIRM","FQ2 2006","FQ2 2006","Currency=USD","Period=FQ","BEST_FPERIOD_OVERRIDE=FQ","FILING_STATUS=OR","SCALING_FORMAT=MLN","FA_ADJUSTED=GAAP","Sort=A","Dates=H","DateFormat=P","Fill=—","Direction=H","UseDPDF=Y")</f>
        <v>79.740700000000004</v>
      </c>
      <c r="AG50" s="13">
        <f>_xll.BDH("AMZN US Equity","CF_FREE_CASH_FLOW_FIRM","FQ3 2006","FQ3 2006","Currency=USD","Period=FQ","BEST_FPERIOD_OVERRIDE=FQ","FILING_STATUS=OR","SCALING_FORMAT=MLN","FA_ADJUSTED=GAAP","Sort=A","Dates=H","DateFormat=P","Fill=—","Direction=H","UseDPDF=Y")</f>
        <v>78.5</v>
      </c>
      <c r="AH50" s="13">
        <f>_xll.BDH("AMZN US Equity","CF_FREE_CASH_FLOW_FIRM","FQ4 2006","FQ4 2006","Currency=USD","Period=FQ","BEST_FPERIOD_OVERRIDE=FQ","FILING_STATUS=OR","SCALING_FORMAT=MLN","FA_ADJUSTED=GAAP","Sort=A","Dates=H","DateFormat=P","Fill=—","Direction=H","UseDPDF=Y")</f>
        <v>703.81479999999999</v>
      </c>
      <c r="AI50" s="13">
        <f>_xll.BDH("AMZN US Equity","CF_FREE_CASH_FLOW_FIRM","FQ1 2007","FQ1 2007","Currency=USD","Period=FQ","BEST_FPERIOD_OVERRIDE=FQ","FILING_STATUS=OR","SCALING_FORMAT=MLN","FA_ADJUSTED=GAAP","Sort=A","Dates=H","DateFormat=P","Fill=—","Direction=H","UseDPDF=Y")</f>
        <v>-298.35419999999999</v>
      </c>
      <c r="AJ50" s="13">
        <f>_xll.BDH("AMZN US Equity","CF_FREE_CASH_FLOW_FIRM","FQ2 2007","FQ2 2007","Currency=USD","Period=FQ","BEST_FPERIOD_OVERRIDE=FQ","FILING_STATUS=OR","SCALING_FORMAT=MLN","FA_ADJUSTED=GAAP","Sort=A","Dates=H","DateFormat=P","Fill=—","Direction=H","UseDPDF=Y")</f>
        <v>265.35140000000001</v>
      </c>
      <c r="AK50" s="13">
        <f>_xll.BDH("AMZN US Equity","CF_FREE_CASH_FLOW_FIRM","FQ3 2007","FQ3 2007","Currency=USD","Period=FQ","BEST_FPERIOD_OVERRIDE=FQ","FILING_STATUS=OR","SCALING_FORMAT=MLN","FA_ADJUSTED=GAAP","Sort=A","Dates=H","DateFormat=P","Fill=—","Direction=H","UseDPDF=Y")</f>
        <v>180.25810000000001</v>
      </c>
      <c r="AL50" s="13">
        <f>_xll.BDH("AMZN US Equity","CF_FREE_CASH_FLOW_FIRM","FQ4 2007","FQ4 2007","Currency=USD","Period=FQ","BEST_FPERIOD_OVERRIDE=FQ","FILING_STATUS=OR","SCALING_FORMAT=MLN","FA_ADJUSTED=GAAP","Sort=A","Dates=H","DateFormat=P","Fill=—","Direction=H","UseDPDF=Y")</f>
        <v>1091.4698000000001</v>
      </c>
      <c r="AM50" s="13">
        <f>_xll.BDH("AMZN US Equity","CF_FREE_CASH_FLOW_FIRM","FQ1 2008","FQ1 2008","Currency=USD","Period=FQ","BEST_FPERIOD_OVERRIDE=FQ","FILING_STATUS=OR","SCALING_FORMAT=MLN","FA_ADJUSTED=GAAP","Sort=A","Dates=H","DateFormat=P","Fill=—","Direction=H","UseDPDF=Y")</f>
        <v>-690.65369999999996</v>
      </c>
      <c r="AN50" s="13">
        <f>_xll.BDH("AMZN US Equity","CF_FREE_CASH_FLOW_FIRM","FQ2 2008","FQ2 2008","Currency=USD","Period=FQ","BEST_FPERIOD_OVERRIDE=FQ","FILING_STATUS=OR","SCALING_FORMAT=MLN","FA_ADJUSTED=GAAP","Sort=A","Dates=H","DateFormat=P","Fill=—","Direction=H","UseDPDF=Y")</f>
        <v>294.2647</v>
      </c>
      <c r="AO50" s="13">
        <f>_xll.BDH("AMZN US Equity","CF_FREE_CASH_FLOW_FIRM","FQ3 2008","FQ3 2008","Currency=USD","Period=FQ","BEST_FPERIOD_OVERRIDE=FQ","FILING_STATUS=OR","SCALING_FORMAT=MLN","FA_ADJUSTED=GAAP","Sort=A","Dates=H","DateFormat=P","Fill=—","Direction=H","UseDPDF=Y")</f>
        <v>333.33330000000001</v>
      </c>
      <c r="AP50" s="13">
        <f>_xll.BDH("AMZN US Equity","CF_FREE_CASH_FLOW_FIRM","FQ4 2008","FQ4 2008","Currency=USD","Period=FQ","BEST_FPERIOD_OVERRIDE=FQ","FILING_STATUS=OR","SCALING_FORMAT=MLN","FA_ADJUSTED=GAAP","Sort=A","Dates=H","DateFormat=P","Fill=—","Direction=H","UseDPDF=Y")</f>
        <v>1478.8815999999999</v>
      </c>
    </row>
    <row r="51" spans="1:42" x14ac:dyDescent="0.25">
      <c r="A51" s="10" t="s">
        <v>367</v>
      </c>
      <c r="B51" s="10" t="s">
        <v>368</v>
      </c>
      <c r="C51" s="13">
        <f>_xll.BDH("AMZN US Equity","FREE_CASH_FLOW_EQUITY","FQ1 1999","FQ1 1999","Currency=USD","Period=FQ","BEST_FPERIOD_OVERRIDE=FQ","FILING_STATUS=OR","SCALING_FORMAT=MLN","Sort=A","Dates=H","DateFormat=P","Fill=—","Direction=H","UseDPDF=Y")</f>
        <v>1132.4949999999999</v>
      </c>
      <c r="D51" s="13">
        <f>_xll.BDH("AMZN US Equity","FREE_CASH_FLOW_EQUITY","FQ2 1999","FQ2 1999","Currency=USD","Period=FQ","BEST_FPERIOD_OVERRIDE=FQ","FILING_STATUS=OR","SCALING_FORMAT=MLN","Sort=A","Dates=H","DateFormat=P","Fill=—","Direction=H","UseDPDF=Y")</f>
        <v>-222.87899999999999</v>
      </c>
      <c r="E51" s="13">
        <f>_xll.BDH("AMZN US Equity","FREE_CASH_FLOW_EQUITY","FQ3 1999","FQ3 1999","Currency=USD","Period=FQ","BEST_FPERIOD_OVERRIDE=FQ","FILING_STATUS=OR","SCALING_FORMAT=MLN","Sort=A","Dates=H","DateFormat=P","Fill=—","Direction=H","UseDPDF=Y")</f>
        <v>-137.92699999999999</v>
      </c>
      <c r="F51" s="13">
        <f>_xll.BDH("AMZN US Equity","FREE_CASH_FLOW_EQUITY","FQ4 1999","FQ4 1999","Currency=USD","Period=FQ","BEST_FPERIOD_OVERRIDE=FQ","FILING_STATUS=OR","SCALING_FORMAT=MLN","Sort=A","Dates=H","DateFormat=P","Fill=—","Direction=H","UseDPDF=Y")</f>
        <v>-74.866</v>
      </c>
      <c r="G51" s="13">
        <f>_xll.BDH("AMZN US Equity","FREE_CASH_FLOW_EQUITY","FQ1 2000","FQ1 2000","Currency=USD","Period=FQ","BEST_FPERIOD_OVERRIDE=FQ","FILING_STATUS=OR","SCALING_FORMAT=MLN","Sort=A","Dates=H","DateFormat=P","Fill=—","Direction=H","UseDPDF=Y")</f>
        <v>328.37200000000001</v>
      </c>
      <c r="H51" s="13" t="str">
        <f>_xll.BDH("AMZN US Equity","FREE_CASH_FLOW_EQUITY","FQ2 2000","FQ2 2000","Currency=USD","Period=FQ","BEST_FPERIOD_OVERRIDE=FQ","FILING_STATUS=OR","SCALING_FORMAT=MLN","Sort=A","Dates=H","DateFormat=P","Fill=—","Direction=H","UseDPDF=Y")</f>
        <v>—</v>
      </c>
      <c r="I51" s="13">
        <f>_xll.BDH("AMZN US Equity","FREE_CASH_FLOW_EQUITY","FQ3 2000","FQ3 2000","Currency=USD","Period=FQ","BEST_FPERIOD_OVERRIDE=FQ","FILING_STATUS=OR","SCALING_FORMAT=MLN","Sort=A","Dates=H","DateFormat=P","Fill=—","Direction=H","UseDPDF=Y")</f>
        <v>-48.912999999999997</v>
      </c>
      <c r="J51" s="13">
        <f>_xll.BDH("AMZN US Equity","FREE_CASH_FLOW_EQUITY","FQ4 2000","FQ4 2000","Currency=USD","Period=FQ","BEST_FPERIOD_OVERRIDE=FQ","FILING_STATUS=OR","SCALING_FORMAT=MLN","Sort=A","Dates=H","DateFormat=P","Fill=—","Direction=H","UseDPDF=Y")</f>
        <v>222.69800000000001</v>
      </c>
      <c r="K51" s="13">
        <f>_xll.BDH("AMZN US Equity","FREE_CASH_FLOW_EQUITY","FQ1 2001","FQ1 2001","Currency=USD","Period=FQ","BEST_FPERIOD_OVERRIDE=FQ","FILING_STATUS=OR","SCALING_FORMAT=MLN","Sort=A","Dates=H","DateFormat=P","Fill=—","Direction=H","UseDPDF=Y")</f>
        <v>-420.99599999999998</v>
      </c>
      <c r="L51" s="13">
        <f>_xll.BDH("AMZN US Equity","FREE_CASH_FLOW_EQUITY","FQ2 2001","FQ2 2001","Currency=USD","Period=FQ","BEST_FPERIOD_OVERRIDE=FQ","FILING_STATUS=OR","SCALING_FORMAT=MLN","Sort=A","Dates=H","DateFormat=P","Fill=—","Direction=H","UseDPDF=Y")</f>
        <v>-12.034000000000001</v>
      </c>
      <c r="M51" s="13">
        <f>_xll.BDH("AMZN US Equity","FREE_CASH_FLOW_EQUITY","FQ3 2001","FQ3 2001","Currency=USD","Period=FQ","BEST_FPERIOD_OVERRIDE=FQ","FILING_STATUS=OR","SCALING_FORMAT=MLN","Sort=A","Dates=H","DateFormat=P","Fill=—","Direction=H","UseDPDF=Y")</f>
        <v>-83.793999999999997</v>
      </c>
      <c r="N51" s="13">
        <f>_xll.BDH("AMZN US Equity","FREE_CASH_FLOW_EQUITY","FQ4 2001","FQ4 2001","Currency=USD","Period=FQ","BEST_FPERIOD_OVERRIDE=FQ","FILING_STATUS=OR","SCALING_FORMAT=MLN","Sort=A","Dates=H","DateFormat=P","Fill=—","Direction=H","UseDPDF=Y")</f>
        <v>337.14600000000002</v>
      </c>
      <c r="O51" s="13">
        <f>_xll.BDH("AMZN US Equity","FREE_CASH_FLOW_EQUITY","FQ1 2002","FQ1 2002","Currency=USD","Period=FQ","BEST_FPERIOD_OVERRIDE=FQ","FILING_STATUS=OR","SCALING_FORMAT=MLN","Sort=A","Dates=H","DateFormat=P","Fill=—","Direction=H","UseDPDF=Y")</f>
        <v>-250.45</v>
      </c>
      <c r="P51" s="13">
        <f>_xll.BDH("AMZN US Equity","FREE_CASH_FLOW_EQUITY","FQ2 2002","FQ2 2002","Currency=USD","Period=FQ","BEST_FPERIOD_OVERRIDE=FQ","FILING_STATUS=OR","SCALING_FORMAT=MLN","Sort=A","Dates=H","DateFormat=P","Fill=—","Direction=H","UseDPDF=Y")</f>
        <v>-6.2350000000000003</v>
      </c>
      <c r="Q51" s="13">
        <f>_xll.BDH("AMZN US Equity","FREE_CASH_FLOW_EQUITY","FQ3 2002","FQ3 2002","Currency=USD","Period=FQ","BEST_FPERIOD_OVERRIDE=FQ","FILING_STATUS=OR","SCALING_FORMAT=MLN","Sort=A","Dates=H","DateFormat=P","Fill=—","Direction=H","UseDPDF=Y")</f>
        <v>22.629000000000001</v>
      </c>
      <c r="R51" s="13">
        <f>_xll.BDH("AMZN US Equity","FREE_CASH_FLOW_EQUITY","FQ4 2002","FQ4 2002","Currency=USD","Period=FQ","BEST_FPERIOD_OVERRIDE=FQ","FILING_STATUS=OR","SCALING_FORMAT=MLN","Sort=A","Dates=H","DateFormat=P","Fill=—","Direction=H","UseDPDF=Y")</f>
        <v>354.38900000000001</v>
      </c>
      <c r="S51" s="13">
        <f>_xll.BDH("AMZN US Equity","FREE_CASH_FLOW_EQUITY","FQ1 2003","FQ1 2003","Currency=USD","Period=FQ","BEST_FPERIOD_OVERRIDE=FQ","FILING_STATUS=OR","SCALING_FORMAT=MLN","Sort=A","Dates=H","DateFormat=P","Fill=—","Direction=H","UseDPDF=Y")</f>
        <v>-261.39699999999999</v>
      </c>
      <c r="T51" s="13">
        <f>_xll.BDH("AMZN US Equity","FREE_CASH_FLOW_EQUITY","FQ2 2003","FQ2 2003","Currency=USD","Period=FQ","BEST_FPERIOD_OVERRIDE=FQ","FILING_STATUS=OR","SCALING_FORMAT=MLN","Sort=A","Dates=H","DateFormat=P","Fill=—","Direction=H","UseDPDF=Y")</f>
        <v>-162.035</v>
      </c>
      <c r="U51" s="13">
        <f>_xll.BDH("AMZN US Equity","FREE_CASH_FLOW_EQUITY","FQ3 2003","FQ3 2003","Currency=USD","Period=FQ","BEST_FPERIOD_OVERRIDE=FQ","FILING_STATUS=OR","SCALING_FORMAT=MLN","Sort=A","Dates=H","DateFormat=P","Fill=—","Direction=H","UseDPDF=Y")</f>
        <v>18.187999999999999</v>
      </c>
      <c r="V51" s="13">
        <f>_xll.BDH("AMZN US Equity","FREE_CASH_FLOW_EQUITY","FQ4 2003","FQ4 2003","Currency=USD","Period=FQ","BEST_FPERIOD_OVERRIDE=FQ","FILING_STATUS=OR","SCALING_FORMAT=MLN","Sort=A","Dates=H","DateFormat=P","Fill=—","Direction=H","UseDPDF=Y")</f>
        <v>255.995</v>
      </c>
      <c r="W51" s="13">
        <f>_xll.BDH("AMZN US Equity","FREE_CASH_FLOW_EQUITY","FQ1 2004","FQ1 2004","Currency=USD","Period=FQ","BEST_FPERIOD_OVERRIDE=FQ","FILING_STATUS=OR","SCALING_FORMAT=MLN","Sort=A","Dates=H","DateFormat=P","Fill=—","Direction=H","UseDPDF=Y")</f>
        <v>-415.84800000000001</v>
      </c>
      <c r="X51" s="13">
        <f>_xll.BDH("AMZN US Equity","FREE_CASH_FLOW_EQUITY","FQ2 2004","FQ2 2004","Currency=USD","Period=FQ","BEST_FPERIOD_OVERRIDE=FQ","FILING_STATUS=OR","SCALING_FORMAT=MLN","Sort=A","Dates=H","DateFormat=P","Fill=—","Direction=H","UseDPDF=Y")</f>
        <v>128.24799999999999</v>
      </c>
      <c r="Y51" s="13">
        <f>_xll.BDH("AMZN US Equity","FREE_CASH_FLOW_EQUITY","FQ3 2004","FQ3 2004","Currency=USD","Period=FQ","BEST_FPERIOD_OVERRIDE=FQ","FILING_STATUS=OR","SCALING_FORMAT=MLN","Sort=A","Dates=H","DateFormat=P","Fill=—","Direction=H","UseDPDF=Y")</f>
        <v>87.373000000000005</v>
      </c>
      <c r="Z51" s="13">
        <f>_xll.BDH("AMZN US Equity","FREE_CASH_FLOW_EQUITY","FQ4 2004","FQ4 2004","Currency=USD","Period=FQ","BEST_FPERIOD_OVERRIDE=FQ","FILING_STATUS=OR","SCALING_FORMAT=MLN","Sort=A","Dates=H","DateFormat=P","Fill=—","Direction=H","UseDPDF=Y")</f>
        <v>520.25300000000004</v>
      </c>
      <c r="AA51" s="13">
        <f>_xll.BDH("AMZN US Equity","FREE_CASH_FLOW_EQUITY","FQ1 2005","FQ1 2005","Currency=USD","Period=FQ","BEST_FPERIOD_OVERRIDE=FQ","FILING_STATUS=OR","SCALING_FORMAT=MLN","Sort=A","Dates=H","DateFormat=P","Fill=—","Direction=H","UseDPDF=Y")</f>
        <v>-585</v>
      </c>
      <c r="AB51" s="13">
        <f>_xll.BDH("AMZN US Equity","FREE_CASH_FLOW_EQUITY","FQ2 2005","FQ2 2005","Currency=USD","Period=FQ","BEST_FPERIOD_OVERRIDE=FQ","FILING_STATUS=OR","SCALING_FORMAT=MLN","Sort=A","Dates=H","DateFormat=P","Fill=—","Direction=H","UseDPDF=Y")</f>
        <v>198</v>
      </c>
      <c r="AC51" s="13">
        <f>_xll.BDH("AMZN US Equity","FREE_CASH_FLOW_EQUITY","FQ3 2005","FQ3 2005","Currency=USD","Period=FQ","BEST_FPERIOD_OVERRIDE=FQ","FILING_STATUS=OR","SCALING_FORMAT=MLN","Sort=A","Dates=H","DateFormat=P","Fill=—","Direction=H","UseDPDF=Y")</f>
        <v>84</v>
      </c>
      <c r="AD51" s="13">
        <f>_xll.BDH("AMZN US Equity","FREE_CASH_FLOW_EQUITY","FQ4 2005","FQ4 2005","Currency=USD","Period=FQ","BEST_FPERIOD_OVERRIDE=FQ","FILING_STATUS=OR","SCALING_FORMAT=MLN","Sort=A","Dates=H","DateFormat=P","Fill=—","Direction=H","UseDPDF=Y")</f>
        <v>575</v>
      </c>
      <c r="AE51" s="13">
        <f>_xll.BDH("AMZN US Equity","FREE_CASH_FLOW_EQUITY","FQ1 2006","FQ1 2006","Currency=USD","Period=FQ","BEST_FPERIOD_OVERRIDE=FQ","FILING_STATUS=OR","SCALING_FORMAT=MLN","Sort=A","Dates=H","DateFormat=P","Fill=—","Direction=H","UseDPDF=Y")</f>
        <v>-659</v>
      </c>
      <c r="AF51" s="13">
        <f>_xll.BDH("AMZN US Equity","FREE_CASH_FLOW_EQUITY","FQ2 2006","FQ2 2006","Currency=USD","Period=FQ","BEST_FPERIOD_OVERRIDE=FQ","FILING_STATUS=OR","SCALING_FORMAT=MLN","Sort=A","Dates=H","DateFormat=P","Fill=—","Direction=H","UseDPDF=Y")</f>
        <v>117</v>
      </c>
      <c r="AG51" s="13">
        <f>_xll.BDH("AMZN US Equity","FREE_CASH_FLOW_EQUITY","FQ3 2006","FQ3 2006","Currency=USD","Period=FQ","BEST_FPERIOD_OVERRIDE=FQ","FILING_STATUS=OR","SCALING_FORMAT=MLN","Sort=A","Dates=H","DateFormat=P","Fill=—","Direction=H","UseDPDF=Y")</f>
        <v>39</v>
      </c>
      <c r="AH51" s="13">
        <f>_xll.BDH("AMZN US Equity","FREE_CASH_FLOW_EQUITY","FQ4 2006","FQ4 2006","Currency=USD","Period=FQ","BEST_FPERIOD_OVERRIDE=FQ","FILING_STATUS=OR","SCALING_FORMAT=MLN","Sort=A","Dates=H","DateFormat=P","Fill=—","Direction=H","UseDPDF=Y")</f>
        <v>704</v>
      </c>
      <c r="AI51" s="13">
        <f>_xll.BDH("AMZN US Equity","FREE_CASH_FLOW_EQUITY","FQ1 2007","FQ1 2007","Currency=USD","Period=FQ","BEST_FPERIOD_OVERRIDE=FQ","FILING_STATUS=OR","SCALING_FORMAT=MLN","Sort=A","Dates=H","DateFormat=P","Fill=—","Direction=H","UseDPDF=Y")</f>
        <v>-330</v>
      </c>
      <c r="AJ51" s="13">
        <f>_xll.BDH("AMZN US Equity","FREE_CASH_FLOW_EQUITY","FQ2 2007","FQ2 2007","Currency=USD","Period=FQ","BEST_FPERIOD_OVERRIDE=FQ","FILING_STATUS=OR","SCALING_FORMAT=MLN","Sort=A","Dates=H","DateFormat=P","Fill=—","Direction=H","UseDPDF=Y")</f>
        <v>223</v>
      </c>
      <c r="AK51" s="13">
        <f>_xll.BDH("AMZN US Equity","FREE_CASH_FLOW_EQUITY","FQ3 2007","FQ3 2007","Currency=USD","Period=FQ","BEST_FPERIOD_OVERRIDE=FQ","FILING_STATUS=OR","SCALING_FORMAT=MLN","Sort=A","Dates=H","DateFormat=P","Fill=—","Direction=H","UseDPDF=Y")</f>
        <v>172</v>
      </c>
      <c r="AL51" s="13">
        <f>_xll.BDH("AMZN US Equity","FREE_CASH_FLOW_EQUITY","FQ4 2007","FQ4 2007","Currency=USD","Period=FQ","BEST_FPERIOD_OVERRIDE=FQ","FILING_STATUS=OR","SCALING_FORMAT=MLN","Sort=A","Dates=H","DateFormat=P","Fill=—","Direction=H","UseDPDF=Y")</f>
        <v>1068</v>
      </c>
      <c r="AM51" s="13">
        <f>_xll.BDH("AMZN US Equity","FREE_CASH_FLOW_EQUITY","FQ1 2008","FQ1 2008","Currency=USD","Period=FQ","BEST_FPERIOD_OVERRIDE=FQ","FILING_STATUS=OR","SCALING_FORMAT=MLN","Sort=A","Dates=H","DateFormat=P","Fill=—","Direction=H","UseDPDF=Y")</f>
        <v>-680</v>
      </c>
      <c r="AN51" s="13">
        <f>_xll.BDH("AMZN US Equity","FREE_CASH_FLOW_EQUITY","FQ2 2008","FQ2 2008","Currency=USD","Period=FQ","BEST_FPERIOD_OVERRIDE=FQ","FILING_STATUS=OR","SCALING_FORMAT=MLN","Sort=A","Dates=H","DateFormat=P","Fill=—","Direction=H","UseDPDF=Y")</f>
        <v>243</v>
      </c>
      <c r="AO51" s="13">
        <f>_xll.BDH("AMZN US Equity","FREE_CASH_FLOW_EQUITY","FQ3 2008","FQ3 2008","Currency=USD","Period=FQ","BEST_FPERIOD_OVERRIDE=FQ","FILING_STATUS=OR","SCALING_FORMAT=MLN","Sort=A","Dates=H","DateFormat=P","Fill=—","Direction=H","UseDPDF=Y")</f>
        <v>27</v>
      </c>
      <c r="AP51" s="13" t="str">
        <f>_xll.BDH("AMZN US Equity","FREE_CASH_FLOW_EQUITY","FQ4 2008","FQ4 2008","Currency=USD","Period=FQ","BEST_FPERIOD_OVERRIDE=FQ","FILING_STATUS=OR","SCALING_FORMAT=MLN","Sort=A","Dates=H","DateFormat=P","Fill=—","Direction=H","UseDPDF=Y")</f>
        <v>—</v>
      </c>
    </row>
    <row r="52" spans="1:42" x14ac:dyDescent="0.25">
      <c r="A52" s="10" t="s">
        <v>369</v>
      </c>
      <c r="B52" s="10" t="s">
        <v>370</v>
      </c>
      <c r="C52" s="14">
        <f>_xll.BDH("AMZN US Equity","FREE_CASH_FLOW_PER_SH","FQ1 1999","FQ1 1999","Currency=USD","Period=FQ","BEST_FPERIOD_OVERRIDE=FQ","FILING_STATUS=OR","Sort=A","Dates=H","DateFormat=P","Fill=—","Direction=H","UseDPDF=Y")</f>
        <v>-0.11550000000000001</v>
      </c>
      <c r="D52" s="14">
        <f>_xll.BDH("AMZN US Equity","FREE_CASH_FLOW_PER_SH","FQ2 1999","FQ2 1999","Currency=USD","Period=FQ","BEST_FPERIOD_OVERRIDE=FQ","FILING_STATUS=OR","Sort=A","Dates=H","DateFormat=P","Fill=—","Direction=H","UseDPDF=Y")</f>
        <v>-0.37740000000000001</v>
      </c>
      <c r="E52" s="14">
        <f>_xll.BDH("AMZN US Equity","FREE_CASH_FLOW_PER_SH","FQ3 1999","FQ3 1999","Currency=USD","Period=FQ","BEST_FPERIOD_OVERRIDE=FQ","FILING_STATUS=OR","Sort=A","Dates=H","DateFormat=P","Fill=—","Direction=H","UseDPDF=Y")</f>
        <v>-0.44009999999999999</v>
      </c>
      <c r="F52" s="14">
        <f>_xll.BDH("AMZN US Equity","FREE_CASH_FLOW_PER_SH","FQ4 1999","FQ4 1999","Currency=USD","Period=FQ","BEST_FPERIOD_OVERRIDE=FQ","FILING_STATUS=OR","Sort=A","Dates=H","DateFormat=P","Fill=—","Direction=H","UseDPDF=Y")</f>
        <v>-0.21779999999999999</v>
      </c>
      <c r="G52" s="14">
        <f>_xll.BDH("AMZN US Equity","FREE_CASH_FLOW_PER_SH","FQ1 2000","FQ1 2000","Currency=USD","Period=FQ","BEST_FPERIOD_OVERRIDE=FQ","FILING_STATUS=OR","Sort=A","Dates=H","DateFormat=P","Fill=—","Direction=H","UseDPDF=Y")</f>
        <v>-1.0089999999999999</v>
      </c>
      <c r="H52" s="14" t="str">
        <f>_xll.BDH("AMZN US Equity","FREE_CASH_FLOW_PER_SH","FQ2 2000","FQ2 2000","Currency=USD","Period=FQ","BEST_FPERIOD_OVERRIDE=FQ","FILING_STATUS=OR","Sort=A","Dates=H","DateFormat=P","Fill=—","Direction=H","UseDPDF=Y")</f>
        <v>—</v>
      </c>
      <c r="I52" s="14">
        <f>_xll.BDH("AMZN US Equity","FREE_CASH_FLOW_PER_SH","FQ3 2000","FQ3 2000","Currency=USD","Period=FQ","BEST_FPERIOD_OVERRIDE=FQ","FILING_STATUS=OR","Sort=A","Dates=H","DateFormat=P","Fill=—","Direction=H","UseDPDF=Y")</f>
        <v>-0.12889999999999999</v>
      </c>
      <c r="J52" s="14">
        <f>_xll.BDH("AMZN US Equity","FREE_CASH_FLOW_PER_SH","FQ4 2000","FQ4 2000","Currency=USD","Period=FQ","BEST_FPERIOD_OVERRIDE=FQ","FILING_STATUS=OR","Sort=A","Dates=H","DateFormat=P","Fill=—","Direction=H","UseDPDF=Y")</f>
        <v>0.63719999999999999</v>
      </c>
      <c r="K52" s="14">
        <f>_xll.BDH("AMZN US Equity","FREE_CASH_FLOW_PER_SH","FQ1 2001","FQ1 2001","Currency=USD","Period=FQ","BEST_FPERIOD_OVERRIDE=FQ","FILING_STATUS=OR","Sort=A","Dates=H","DateFormat=P","Fill=—","Direction=H","UseDPDF=Y")</f>
        <v>-1.1930000000000001</v>
      </c>
      <c r="L52" s="14">
        <f>_xll.BDH("AMZN US Equity","FREE_CASH_FLOW_PER_SH","FQ2 2001","FQ2 2001","Currency=USD","Period=FQ","BEST_FPERIOD_OVERRIDE=FQ","FILING_STATUS=OR","Sort=A","Dates=H","DateFormat=P","Fill=—","Direction=H","UseDPDF=Y")</f>
        <v>-2.2100000000000002E-2</v>
      </c>
      <c r="M52" s="14">
        <f>_xll.BDH("AMZN US Equity","FREE_CASH_FLOW_PER_SH","FQ3 2001","FQ3 2001","Currency=USD","Period=FQ","BEST_FPERIOD_OVERRIDE=FQ","FILING_STATUS=OR","Sort=A","Dates=H","DateFormat=P","Fill=—","Direction=H","UseDPDF=Y")</f>
        <v>-0.21010000000000001</v>
      </c>
      <c r="N52" s="14">
        <f>_xll.BDH("AMZN US Equity","FREE_CASH_FLOW_PER_SH","FQ4 2001","FQ4 2001","Currency=USD","Period=FQ","BEST_FPERIOD_OVERRIDE=FQ","FILING_STATUS=OR","Sort=A","Dates=H","DateFormat=P","Fill=—","Direction=H","UseDPDF=Y")</f>
        <v>0.91969999999999996</v>
      </c>
      <c r="O52" s="14">
        <f>_xll.BDH("AMZN US Equity","FREE_CASH_FLOW_PER_SH","FQ1 2002","FQ1 2002","Currency=USD","Period=FQ","BEST_FPERIOD_OVERRIDE=FQ","FILING_STATUS=OR","Sort=A","Dates=H","DateFormat=P","Fill=—","Direction=H","UseDPDF=Y")</f>
        <v>-0.65920000000000001</v>
      </c>
      <c r="P52" s="14">
        <f>_xll.BDH("AMZN US Equity","FREE_CASH_FLOW_PER_SH","FQ2 2002","FQ2 2002","Currency=USD","Period=FQ","BEST_FPERIOD_OVERRIDE=FQ","FILING_STATUS=OR","Sort=A","Dates=H","DateFormat=P","Fill=—","Direction=H","UseDPDF=Y")</f>
        <v>-7.4000000000000003E-3</v>
      </c>
      <c r="Q52" s="14">
        <f>_xll.BDH("AMZN US Equity","FREE_CASH_FLOW_PER_SH","FQ3 2002","FQ3 2002","Currency=USD","Period=FQ","BEST_FPERIOD_OVERRIDE=FQ","FILING_STATUS=OR","Sort=A","Dates=H","DateFormat=P","Fill=—","Direction=H","UseDPDF=Y")</f>
        <v>7.0499999999999993E-2</v>
      </c>
      <c r="R52" s="14">
        <f>_xll.BDH("AMZN US Equity","FREE_CASH_FLOW_PER_SH","FQ4 2002","FQ4 2002","Currency=USD","Period=FQ","BEST_FPERIOD_OVERRIDE=FQ","FILING_STATUS=OR","Sort=A","Dates=H","DateFormat=P","Fill=—","Direction=H","UseDPDF=Y")</f>
        <v>0.93059999999999998</v>
      </c>
      <c r="S52" s="14">
        <f>_xll.BDH("AMZN US Equity","FREE_CASH_FLOW_PER_SH","FQ1 2003","FQ1 2003","Currency=USD","Period=FQ","BEST_FPERIOD_OVERRIDE=FQ","FILING_STATUS=OR","Sort=A","Dates=H","DateFormat=P","Fill=—","Direction=H","UseDPDF=Y")</f>
        <v>-0.66449999999999998</v>
      </c>
      <c r="T52" s="14">
        <f>_xll.BDH("AMZN US Equity","FREE_CASH_FLOW_PER_SH","FQ2 2003","FQ2 2003","Currency=USD","Period=FQ","BEST_FPERIOD_OVERRIDE=FQ","FILING_STATUS=OR","Sort=A","Dates=H","DateFormat=P","Fill=—","Direction=H","UseDPDF=Y")</f>
        <v>0.30180000000000001</v>
      </c>
      <c r="U52" s="14">
        <f>_xll.BDH("AMZN US Equity","FREE_CASH_FLOW_PER_SH","FQ3 2003","FQ3 2003","Currency=USD","Period=FQ","BEST_FPERIOD_OVERRIDE=FQ","FILING_STATUS=OR","Sort=A","Dates=H","DateFormat=P","Fill=—","Direction=H","UseDPDF=Y")</f>
        <v>5.4300000000000001E-2</v>
      </c>
      <c r="V52" s="14">
        <f>_xll.BDH("AMZN US Equity","FREE_CASH_FLOW_PER_SH","FQ4 2003","FQ4 2003","Currency=USD","Period=FQ","BEST_FPERIOD_OVERRIDE=FQ","FILING_STATUS=OR","Sort=A","Dates=H","DateFormat=P","Fill=—","Direction=H","UseDPDF=Y")</f>
        <v>1.1552</v>
      </c>
      <c r="W52" s="14">
        <f>_xll.BDH("AMZN US Equity","FREE_CASH_FLOW_PER_SH","FQ1 2004","FQ1 2004","Currency=USD","Period=FQ","BEST_FPERIOD_OVERRIDE=FQ","FILING_STATUS=OR","Sort=A","Dates=H","DateFormat=P","Fill=—","Direction=H","UseDPDF=Y")</f>
        <v>-0.64480000000000004</v>
      </c>
      <c r="X52" s="14">
        <f>_xll.BDH("AMZN US Equity","FREE_CASH_FLOW_PER_SH","FQ2 2004","FQ2 2004","Currency=USD","Period=FQ","BEST_FPERIOD_OVERRIDE=FQ","FILING_STATUS=OR","Sort=A","Dates=H","DateFormat=P","Fill=—","Direction=H","UseDPDF=Y")</f>
        <v>0.318</v>
      </c>
      <c r="Y52" s="14">
        <f>_xll.BDH("AMZN US Equity","FREE_CASH_FLOW_PER_SH","FQ3 2004","FQ3 2004","Currency=USD","Period=FQ","BEST_FPERIOD_OVERRIDE=FQ","FILING_STATUS=OR","Sort=A","Dates=H","DateFormat=P","Fill=—","Direction=H","UseDPDF=Y")</f>
        <v>0.2162</v>
      </c>
      <c r="Z52" s="14">
        <f>_xll.BDH("AMZN US Equity","FREE_CASH_FLOW_PER_SH","FQ4 2004","FQ4 2004","Currency=USD","Period=FQ","BEST_FPERIOD_OVERRIDE=FQ","FILING_STATUS=OR","Sort=A","Dates=H","DateFormat=P","Fill=—","Direction=H","UseDPDF=Y")</f>
        <v>1.2758</v>
      </c>
      <c r="AA52" s="14">
        <f>_xll.BDH("AMZN US Equity","FREE_CASH_FLOW_PER_SH","FQ1 2005","FQ1 2005","Currency=USD","Period=FQ","BEST_FPERIOD_OVERRIDE=FQ","FILING_STATUS=OR","Sort=A","Dates=H","DateFormat=P","Fill=—","Direction=H","UseDPDF=Y")</f>
        <v>-0.78049999999999997</v>
      </c>
      <c r="AB52" s="14">
        <f>_xll.BDH("AMZN US Equity","FREE_CASH_FLOW_PER_SH","FQ2 2005","FQ2 2005","Currency=USD","Period=FQ","BEST_FPERIOD_OVERRIDE=FQ","FILING_STATUS=OR","Sort=A","Dates=H","DateFormat=P","Fill=—","Direction=H","UseDPDF=Y")</f>
        <v>0.48180000000000001</v>
      </c>
      <c r="AC52" s="14">
        <f>_xll.BDH("AMZN US Equity","FREE_CASH_FLOW_PER_SH","FQ3 2005","FQ3 2005","Currency=USD","Period=FQ","BEST_FPERIOD_OVERRIDE=FQ","FILING_STATUS=OR","Sort=A","Dates=H","DateFormat=P","Fill=—","Direction=H","UseDPDF=Y")</f>
        <v>0.18640000000000001</v>
      </c>
      <c r="AD52" s="14">
        <f>_xll.BDH("AMZN US Equity","FREE_CASH_FLOW_PER_SH","FQ4 2005","FQ4 2005","Currency=USD","Period=FQ","BEST_FPERIOD_OVERRIDE=FQ","FILING_STATUS=OR","Sort=A","Dates=H","DateFormat=P","Fill=—","Direction=H","UseDPDF=Y")</f>
        <v>1.3831</v>
      </c>
      <c r="AE52" s="14">
        <f>_xll.BDH("AMZN US Equity","FREE_CASH_FLOW_PER_SH","FQ1 2006","FQ1 2006","Currency=USD","Period=FQ","BEST_FPERIOD_OVERRIDE=FQ","FILING_STATUS=OR","Sort=A","Dates=H","DateFormat=P","Fill=—","Direction=H","UseDPDF=Y")</f>
        <v>-0.83689999999999998</v>
      </c>
      <c r="AF52" s="14">
        <f>_xll.BDH("AMZN US Equity","FREE_CASH_FLOW_PER_SH","FQ2 2006","FQ2 2006","Currency=USD","Period=FQ","BEST_FPERIOD_OVERRIDE=FQ","FILING_STATUS=OR","Sort=A","Dates=H","DateFormat=P","Fill=—","Direction=H","UseDPDF=Y")</f>
        <v>0.17219999999999999</v>
      </c>
      <c r="AG52" s="14">
        <f>_xll.BDH("AMZN US Equity","FREE_CASH_FLOW_PER_SH","FQ3 2006","FQ3 2006","Currency=USD","Period=FQ","BEST_FPERIOD_OVERRIDE=FQ","FILING_STATUS=OR","Sort=A","Dates=H","DateFormat=P","Fill=—","Direction=H","UseDPDF=Y")</f>
        <v>0.16309999999999999</v>
      </c>
      <c r="AH52" s="14">
        <f>_xll.BDH("AMZN US Equity","FREE_CASH_FLOW_PER_SH","FQ4 2006","FQ4 2006","Currency=USD","Period=FQ","BEST_FPERIOD_OVERRIDE=FQ","FILING_STATUS=OR","Sort=A","Dates=H","DateFormat=P","Fill=—","Direction=H","UseDPDF=Y")</f>
        <v>1.6707000000000001</v>
      </c>
      <c r="AI52" s="14">
        <f>_xll.BDH("AMZN US Equity","FREE_CASH_FLOW_PER_SH","FQ1 2007","FQ1 2007","Currency=USD","Period=FQ","BEST_FPERIOD_OVERRIDE=FQ","FILING_STATUS=OR","Sort=A","Dates=H","DateFormat=P","Fill=—","Direction=H","UseDPDF=Y")</f>
        <v>-0.75970000000000004</v>
      </c>
      <c r="AJ52" s="14">
        <f>_xll.BDH("AMZN US Equity","FREE_CASH_FLOW_PER_SH","FQ2 2007","FQ2 2007","Currency=USD","Period=FQ","BEST_FPERIOD_OVERRIDE=FQ","FILING_STATUS=OR","Sort=A","Dates=H","DateFormat=P","Fill=—","Direction=H","UseDPDF=Y")</f>
        <v>0.61170000000000002</v>
      </c>
      <c r="AK52" s="14">
        <f>_xll.BDH("AMZN US Equity","FREE_CASH_FLOW_PER_SH","FQ3 2007","FQ3 2007","Currency=USD","Period=FQ","BEST_FPERIOD_OVERRIDE=FQ","FILING_STATUS=OR","Sort=A","Dates=H","DateFormat=P","Fill=—","Direction=H","UseDPDF=Y")</f>
        <v>0.40579999999999999</v>
      </c>
      <c r="AL52" s="14">
        <f>_xll.BDH("AMZN US Equity","FREE_CASH_FLOW_PER_SH","FQ4 2007","FQ4 2007","Currency=USD","Period=FQ","BEST_FPERIOD_OVERRIDE=FQ","FILING_STATUS=OR","Sort=A","Dates=H","DateFormat=P","Fill=—","Direction=H","UseDPDF=Y")</f>
        <v>2.5865</v>
      </c>
      <c r="AM52" s="14">
        <f>_xll.BDH("AMZN US Equity","FREE_CASH_FLOW_PER_SH","FQ1 2008","FQ1 2008","Currency=USD","Period=FQ","BEST_FPERIOD_OVERRIDE=FQ","FILING_STATUS=OR","Sort=A","Dates=H","DateFormat=P","Fill=—","Direction=H","UseDPDF=Y")</f>
        <v>-1.6930000000000001</v>
      </c>
      <c r="AN52" s="14">
        <f>_xll.BDH("AMZN US Equity","FREE_CASH_FLOW_PER_SH","FQ2 2008","FQ2 2008","Currency=USD","Period=FQ","BEST_FPERIOD_OVERRIDE=FQ","FILING_STATUS=OR","Sort=A","Dates=H","DateFormat=P","Fill=—","Direction=H","UseDPDF=Y")</f>
        <v>0.66190000000000004</v>
      </c>
      <c r="AO52" s="14">
        <f>_xll.BDH("AMZN US Equity","FREE_CASH_FLOW_PER_SH","FQ3 2008","FQ3 2008","Currency=USD","Period=FQ","BEST_FPERIOD_OVERRIDE=FQ","FILING_STATUS=OR","Sort=A","Dates=H","DateFormat=P","Fill=—","Direction=H","UseDPDF=Y")</f>
        <v>0.75409999999999999</v>
      </c>
      <c r="AP52" s="14">
        <f>_xll.BDH("AMZN US Equity","FREE_CASH_FLOW_PER_SH","FQ4 2008","FQ4 2008","Currency=USD","Period=FQ","BEST_FPERIOD_OVERRIDE=FQ","FILING_STATUS=OR","Sort=A","Dates=H","DateFormat=P","Fill=—","Direction=H","UseDPDF=Y")</f>
        <v>3.4346000000000001</v>
      </c>
    </row>
    <row r="53" spans="1:42" x14ac:dyDescent="0.25">
      <c r="A53" s="10" t="s">
        <v>371</v>
      </c>
      <c r="B53" s="10" t="s">
        <v>372</v>
      </c>
      <c r="C53" s="14" t="str">
        <f>_xll.BDH("AMZN US Equity","PX_TO_FREE_CASH_FLOW","FQ1 1999","FQ1 1999","Currency=USD","Period=FQ","BEST_FPERIOD_OVERRIDE=FQ","FILING_STATUS=OR","Sort=A","Dates=H","DateFormat=P","Fill=—","Direction=H","UseDPDF=Y")</f>
        <v>—</v>
      </c>
      <c r="D53" s="14" t="str">
        <f>_xll.BDH("AMZN US Equity","PX_TO_FREE_CASH_FLOW","FQ2 1999","FQ2 1999","Currency=USD","Period=FQ","BEST_FPERIOD_OVERRIDE=FQ","FILING_STATUS=OR","Sort=A","Dates=H","DateFormat=P","Fill=—","Direction=H","UseDPDF=Y")</f>
        <v>—</v>
      </c>
      <c r="E53" s="14" t="str">
        <f>_xll.BDH("AMZN US Equity","PX_TO_FREE_CASH_FLOW","FQ3 1999","FQ3 1999","Currency=USD","Period=FQ","BEST_FPERIOD_OVERRIDE=FQ","FILING_STATUS=OR","Sort=A","Dates=H","DateFormat=P","Fill=—","Direction=H","UseDPDF=Y")</f>
        <v>—</v>
      </c>
      <c r="F53" s="14" t="str">
        <f>_xll.BDH("AMZN US Equity","PX_TO_FREE_CASH_FLOW","FQ4 1999","FQ4 1999","Currency=USD","Period=FQ","BEST_FPERIOD_OVERRIDE=FQ","FILING_STATUS=OR","Sort=A","Dates=H","DateFormat=P","Fill=—","Direction=H","UseDPDF=Y")</f>
        <v>—</v>
      </c>
      <c r="G53" s="14" t="str">
        <f>_xll.BDH("AMZN US Equity","PX_TO_FREE_CASH_FLOW","FQ1 2000","FQ1 2000","Currency=USD","Period=FQ","BEST_FPERIOD_OVERRIDE=FQ","FILING_STATUS=OR","Sort=A","Dates=H","DateFormat=P","Fill=—","Direction=H","UseDPDF=Y")</f>
        <v>—</v>
      </c>
      <c r="H53" s="14" t="str">
        <f>_xll.BDH("AMZN US Equity","PX_TO_FREE_CASH_FLOW","FQ2 2000","FQ2 2000","Currency=USD","Period=FQ","BEST_FPERIOD_OVERRIDE=FQ","FILING_STATUS=OR","Sort=A","Dates=H","DateFormat=P","Fill=—","Direction=H","UseDPDF=Y")</f>
        <v>—</v>
      </c>
      <c r="I53" s="14" t="str">
        <f>_xll.BDH("AMZN US Equity","PX_TO_FREE_CASH_FLOW","FQ3 2000","FQ3 2000","Currency=USD","Period=FQ","BEST_FPERIOD_OVERRIDE=FQ","FILING_STATUS=OR","Sort=A","Dates=H","DateFormat=P","Fill=—","Direction=H","UseDPDF=Y")</f>
        <v>—</v>
      </c>
      <c r="J53" s="14" t="str">
        <f>_xll.BDH("AMZN US Equity","PX_TO_FREE_CASH_FLOW","FQ4 2000","FQ4 2000","Currency=USD","Period=FQ","BEST_FPERIOD_OVERRIDE=FQ","FILING_STATUS=OR","Sort=A","Dates=H","DateFormat=P","Fill=—","Direction=H","UseDPDF=Y")</f>
        <v>—</v>
      </c>
      <c r="K53" s="14" t="str">
        <f>_xll.BDH("AMZN US Equity","PX_TO_FREE_CASH_FLOW","FQ1 2001","FQ1 2001","Currency=USD","Period=FQ","BEST_FPERIOD_OVERRIDE=FQ","FILING_STATUS=OR","Sort=A","Dates=H","DateFormat=P","Fill=—","Direction=H","UseDPDF=Y")</f>
        <v>—</v>
      </c>
      <c r="L53" s="14" t="str">
        <f>_xll.BDH("AMZN US Equity","PX_TO_FREE_CASH_FLOW","FQ2 2001","FQ2 2001","Currency=USD","Period=FQ","BEST_FPERIOD_OVERRIDE=FQ","FILING_STATUS=OR","Sort=A","Dates=H","DateFormat=P","Fill=—","Direction=H","UseDPDF=Y")</f>
        <v>—</v>
      </c>
      <c r="M53" s="14" t="str">
        <f>_xll.BDH("AMZN US Equity","PX_TO_FREE_CASH_FLOW","FQ3 2001","FQ3 2001","Currency=USD","Period=FQ","BEST_FPERIOD_OVERRIDE=FQ","FILING_STATUS=OR","Sort=A","Dates=H","DateFormat=P","Fill=—","Direction=H","UseDPDF=Y")</f>
        <v>—</v>
      </c>
      <c r="N53" s="14" t="str">
        <f>_xll.BDH("AMZN US Equity","PX_TO_FREE_CASH_FLOW","FQ4 2001","FQ4 2001","Currency=USD","Period=FQ","BEST_FPERIOD_OVERRIDE=FQ","FILING_STATUS=OR","Sort=A","Dates=H","DateFormat=P","Fill=—","Direction=H","UseDPDF=Y")</f>
        <v>—</v>
      </c>
      <c r="O53" s="14">
        <f>_xll.BDH("AMZN US Equity","PX_TO_FREE_CASH_FLOW","FQ1 2002","FQ1 2002","Currency=USD","Period=FQ","BEST_FPERIOD_OVERRIDE=FQ","FILING_STATUS=OR","Sort=A","Dates=H","DateFormat=P","Fill=—","Direction=H","UseDPDF=Y")</f>
        <v>504.50549999999998</v>
      </c>
      <c r="P53" s="14">
        <f>_xll.BDH("AMZN US Equity","PX_TO_FREE_CASH_FLOW","FQ2 2002","FQ2 2002","Currency=USD","Period=FQ","BEST_FPERIOD_OVERRIDE=FQ","FILING_STATUS=OR","Sort=A","Dates=H","DateFormat=P","Fill=—","Direction=H","UseDPDF=Y")</f>
        <v>378.0908</v>
      </c>
      <c r="Q53" s="14">
        <f>_xll.BDH("AMZN US Equity","PX_TO_FREE_CASH_FLOW","FQ3 2002","FQ3 2002","Currency=USD","Period=FQ","BEST_FPERIOD_OVERRIDE=FQ","FILING_STATUS=OR","Sort=A","Dates=H","DateFormat=P","Fill=—","Direction=H","UseDPDF=Y")</f>
        <v>49.2346</v>
      </c>
      <c r="R53" s="14">
        <f>_xll.BDH("AMZN US Equity","PX_TO_FREE_CASH_FLOW","FQ4 2002","FQ4 2002","Currency=USD","Period=FQ","BEST_FPERIOD_OVERRIDE=FQ","FILING_STATUS=OR","Sort=A","Dates=H","DateFormat=P","Fill=—","Direction=H","UseDPDF=Y")</f>
        <v>56.480699999999999</v>
      </c>
      <c r="S53" s="14">
        <f>_xll.BDH("AMZN US Equity","PX_TO_FREE_CASH_FLOW","FQ1 2003","FQ1 2003","Currency=USD","Period=FQ","BEST_FPERIOD_OVERRIDE=FQ","FILING_STATUS=OR","Sort=A","Dates=H","DateFormat=P","Fill=—","Direction=H","UseDPDF=Y")</f>
        <v>79.086200000000005</v>
      </c>
      <c r="T53" s="14">
        <f>_xll.BDH("AMZN US Equity","PX_TO_FREE_CASH_FLOW","FQ2 2003","FQ2 2003","Currency=USD","Period=FQ","BEST_FPERIOD_OVERRIDE=FQ","FILING_STATUS=OR","Sort=A","Dates=H","DateFormat=P","Fill=—","Direction=H","UseDPDF=Y")</f>
        <v>56.892299999999999</v>
      </c>
      <c r="U53" s="14">
        <f>_xll.BDH("AMZN US Equity","PX_TO_FREE_CASH_FLOW","FQ3 2003","FQ3 2003","Currency=USD","Period=FQ","BEST_FPERIOD_OVERRIDE=FQ","FILING_STATUS=OR","Sort=A","Dates=H","DateFormat=P","Fill=—","Direction=H","UseDPDF=Y")</f>
        <v>77.827600000000004</v>
      </c>
      <c r="V53" s="14">
        <f>_xll.BDH("AMZN US Equity","PX_TO_FREE_CASH_FLOW","FQ4 2003","FQ4 2003","Currency=USD","Period=FQ","BEST_FPERIOD_OVERRIDE=FQ","FILING_STATUS=OR","Sort=A","Dates=H","DateFormat=P","Fill=—","Direction=H","UseDPDF=Y")</f>
        <v>62.131799999999998</v>
      </c>
      <c r="W53" s="14">
        <f>_xll.BDH("AMZN US Equity","PX_TO_FREE_CASH_FLOW","FQ1 2004","FQ1 2004","Currency=USD","Period=FQ","BEST_FPERIOD_OVERRIDE=FQ","FILING_STATUS=OR","Sort=A","Dates=H","DateFormat=P","Fill=—","Direction=H","UseDPDF=Y")</f>
        <v>49.942700000000002</v>
      </c>
      <c r="X53" s="14">
        <f>_xll.BDH("AMZN US Equity","PX_TO_FREE_CASH_FLOW","FQ2 2004","FQ2 2004","Currency=USD","Period=FQ","BEST_FPERIOD_OVERRIDE=FQ","FILING_STATUS=OR","Sort=A","Dates=H","DateFormat=P","Fill=—","Direction=H","UseDPDF=Y")</f>
        <v>61.621600000000001</v>
      </c>
      <c r="Y53" s="14">
        <f>_xll.BDH("AMZN US Equity","PX_TO_FREE_CASH_FLOW","FQ3 2004","FQ3 2004","Currency=USD","Period=FQ","BEST_FPERIOD_OVERRIDE=FQ","FILING_STATUS=OR","Sort=A","Dates=H","DateFormat=P","Fill=—","Direction=H","UseDPDF=Y")</f>
        <v>39.1126</v>
      </c>
      <c r="Z53" s="14">
        <f>_xll.BDH("AMZN US Equity","PX_TO_FREE_CASH_FLOW","FQ4 2004","FQ4 2004","Currency=USD","Period=FQ","BEST_FPERIOD_OVERRIDE=FQ","FILING_STATUS=OR","Sort=A","Dates=H","DateFormat=P","Fill=—","Direction=H","UseDPDF=Y")</f>
        <v>38.008800000000001</v>
      </c>
      <c r="AA53" s="14">
        <f>_xll.BDH("AMZN US Equity","PX_TO_FREE_CASH_FLOW","FQ1 2005","FQ1 2005","Currency=USD","Period=FQ","BEST_FPERIOD_OVERRIDE=FQ","FILING_STATUS=OR","Sort=A","Dates=H","DateFormat=P","Fill=—","Direction=H","UseDPDF=Y")</f>
        <v>33.286000000000001</v>
      </c>
      <c r="AB53" s="14">
        <f>_xll.BDH("AMZN US Equity","PX_TO_FREE_CASH_FLOW","FQ2 2005","FQ2 2005","Currency=USD","Period=FQ","BEST_FPERIOD_OVERRIDE=FQ","FILING_STATUS=OR","Sort=A","Dates=H","DateFormat=P","Fill=—","Direction=H","UseDPDF=Y")</f>
        <v>27.730599999999999</v>
      </c>
      <c r="AC53" s="14">
        <f>_xll.BDH("AMZN US Equity","PX_TO_FREE_CASH_FLOW","FQ3 2005","FQ3 2005","Currency=USD","Period=FQ","BEST_FPERIOD_OVERRIDE=FQ","FILING_STATUS=OR","Sort=A","Dates=H","DateFormat=P","Fill=—","Direction=H","UseDPDF=Y")</f>
        <v>38.934399999999997</v>
      </c>
      <c r="AD53" s="14">
        <f>_xll.BDH("AMZN US Equity","PX_TO_FREE_CASH_FLOW","FQ4 2005","FQ4 2005","Currency=USD","Period=FQ","BEST_FPERIOD_OVERRIDE=FQ","FILING_STATUS=OR","Sort=A","Dates=H","DateFormat=P","Fill=—","Direction=H","UseDPDF=Y")</f>
        <v>37.101500000000001</v>
      </c>
      <c r="AE53" s="14">
        <f>_xll.BDH("AMZN US Equity","PX_TO_FREE_CASH_FLOW","FQ1 2006","FQ1 2006","Currency=USD","Period=FQ","BEST_FPERIOD_OVERRIDE=FQ","FILING_STATUS=OR","Sort=A","Dates=H","DateFormat=P","Fill=—","Direction=H","UseDPDF=Y")</f>
        <v>30.0808</v>
      </c>
      <c r="AF53" s="14">
        <f>_xll.BDH("AMZN US Equity","PX_TO_FREE_CASH_FLOW","FQ2 2006","FQ2 2006","Currency=USD","Period=FQ","BEST_FPERIOD_OVERRIDE=FQ","FILING_STATUS=OR","Sort=A","Dates=H","DateFormat=P","Fill=—","Direction=H","UseDPDF=Y")</f>
        <v>42.7455</v>
      </c>
      <c r="AG53" s="14">
        <f>_xll.BDH("AMZN US Equity","PX_TO_FREE_CASH_FLOW","FQ3 2006","FQ3 2006","Currency=USD","Period=FQ","BEST_FPERIOD_OVERRIDE=FQ","FILING_STATUS=OR","Sort=A","Dates=H","DateFormat=P","Fill=—","Direction=H","UseDPDF=Y")</f>
        <v>36.436999999999998</v>
      </c>
      <c r="AH53" s="14">
        <f>_xll.BDH("AMZN US Equity","PX_TO_FREE_CASH_FLOW","FQ4 2006","FQ4 2006","Currency=USD","Period=FQ","BEST_FPERIOD_OVERRIDE=FQ","FILING_STATUS=OR","Sort=A","Dates=H","DateFormat=P","Fill=—","Direction=H","UseDPDF=Y")</f>
        <v>33.753599999999999</v>
      </c>
      <c r="AI53" s="14">
        <f>_xll.BDH("AMZN US Equity","PX_TO_FREE_CASH_FLOW","FQ1 2007","FQ1 2007","Currency=USD","Period=FQ","BEST_FPERIOD_OVERRIDE=FQ","FILING_STATUS=OR","Sort=A","Dates=H","DateFormat=P","Fill=—","Direction=H","UseDPDF=Y")</f>
        <v>31.9269</v>
      </c>
      <c r="AJ53" s="14">
        <f>_xll.BDH("AMZN US Equity","PX_TO_FREE_CASH_FLOW","FQ2 2007","FQ2 2007","Currency=USD","Period=FQ","BEST_FPERIOD_OVERRIDE=FQ","FILING_STATUS=OR","Sort=A","Dates=H","DateFormat=P","Fill=—","Direction=H","UseDPDF=Y")</f>
        <v>40.582900000000002</v>
      </c>
      <c r="AK53" s="14">
        <f>_xll.BDH("AMZN US Equity","PX_TO_FREE_CASH_FLOW","FQ3 2007","FQ3 2007","Currency=USD","Period=FQ","BEST_FPERIOD_OVERRIDE=FQ","FILING_STATUS=OR","Sort=A","Dates=H","DateFormat=P","Fill=—","Direction=H","UseDPDF=Y")</f>
        <v>48.304000000000002</v>
      </c>
      <c r="AL53" s="14">
        <f>_xll.BDH("AMZN US Equity","PX_TO_FREE_CASH_FLOW","FQ4 2007","FQ4 2007","Currency=USD","Period=FQ","BEST_FPERIOD_OVERRIDE=FQ","FILING_STATUS=OR","Sort=A","Dates=H","DateFormat=P","Fill=—","Direction=H","UseDPDF=Y")</f>
        <v>32.570700000000002</v>
      </c>
      <c r="AM53" s="14">
        <f>_xll.BDH("AMZN US Equity","PX_TO_FREE_CASH_FLOW","FQ1 2008","FQ1 2008","Currency=USD","Period=FQ","BEST_FPERIOD_OVERRIDE=FQ","FILING_STATUS=OR","Sort=A","Dates=H","DateFormat=P","Fill=—","Direction=H","UseDPDF=Y")</f>
        <v>37.311500000000002</v>
      </c>
      <c r="AN53" s="14">
        <f>_xll.BDH("AMZN US Equity","PX_TO_FREE_CASH_FLOW","FQ2 2008","FQ2 2008","Currency=USD","Period=FQ","BEST_FPERIOD_OVERRIDE=FQ","FILING_STATUS=OR","Sort=A","Dates=H","DateFormat=P","Fill=—","Direction=H","UseDPDF=Y")</f>
        <v>37.390500000000003</v>
      </c>
      <c r="AO53" s="14">
        <f>_xll.BDH("AMZN US Equity","PX_TO_FREE_CASH_FLOW","FQ3 2008","FQ3 2008","Currency=USD","Period=FQ","BEST_FPERIOD_OVERRIDE=FQ","FILING_STATUS=OR","Sort=A","Dates=H","DateFormat=P","Fill=—","Direction=H","UseDPDF=Y")</f>
        <v>31.5047</v>
      </c>
      <c r="AP53" s="14">
        <f>_xll.BDH("AMZN US Equity","PX_TO_FREE_CASH_FLOW","FQ4 2008","FQ4 2008","Currency=USD","Period=FQ","BEST_FPERIOD_OVERRIDE=FQ","FILING_STATUS=OR","Sort=A","Dates=H","DateFormat=P","Fill=—","Direction=H","UseDPDF=Y")</f>
        <v>16.240500000000001</v>
      </c>
    </row>
    <row r="54" spans="1:42" x14ac:dyDescent="0.25">
      <c r="A54" s="10" t="s">
        <v>373</v>
      </c>
      <c r="B54" s="10" t="s">
        <v>374</v>
      </c>
      <c r="C54" s="14" t="str">
        <f>_xll.BDH("AMZN US Equity","CASH_FLOW_TO_NET_INC","FQ1 1999","FQ1 1999","Currency=USD","Period=FQ","BEST_FPERIOD_OVERRIDE=FQ","FILING_STATUS=OR","FA_ADJUSTED=GAAP","Sort=A","Dates=H","DateFormat=P","Fill=—","Direction=H","UseDPDF=Y")</f>
        <v>—</v>
      </c>
      <c r="D54" s="14" t="str">
        <f>_xll.BDH("AMZN US Equity","CASH_FLOW_TO_NET_INC","FQ2 1999","FQ2 1999","Currency=USD","Period=FQ","BEST_FPERIOD_OVERRIDE=FQ","FILING_STATUS=OR","FA_ADJUSTED=GAAP","Sort=A","Dates=H","DateFormat=P","Fill=—","Direction=H","UseDPDF=Y")</f>
        <v>—</v>
      </c>
      <c r="E54" s="14" t="str">
        <f>_xll.BDH("AMZN US Equity","CASH_FLOW_TO_NET_INC","FQ3 1999","FQ3 1999","Currency=USD","Period=FQ","BEST_FPERIOD_OVERRIDE=FQ","FILING_STATUS=OR","FA_ADJUSTED=GAAP","Sort=A","Dates=H","DateFormat=P","Fill=—","Direction=H","UseDPDF=Y")</f>
        <v>—</v>
      </c>
      <c r="F54" s="14" t="str">
        <f>_xll.BDH("AMZN US Equity","CASH_FLOW_TO_NET_INC","FQ4 1999","FQ4 1999","Currency=USD","Period=FQ","BEST_FPERIOD_OVERRIDE=FQ","FILING_STATUS=OR","FA_ADJUSTED=GAAP","Sort=A","Dates=H","DateFormat=P","Fill=—","Direction=H","UseDPDF=Y")</f>
        <v>—</v>
      </c>
      <c r="G54" s="14" t="str">
        <f>_xll.BDH("AMZN US Equity","CASH_FLOW_TO_NET_INC","FQ1 2000","FQ1 2000","Currency=USD","Period=FQ","BEST_FPERIOD_OVERRIDE=FQ","FILING_STATUS=OR","FA_ADJUSTED=GAAP","Sort=A","Dates=H","DateFormat=P","Fill=—","Direction=H","UseDPDF=Y")</f>
        <v>—</v>
      </c>
      <c r="H54" s="14" t="str">
        <f>_xll.BDH("AMZN US Equity","CASH_FLOW_TO_NET_INC","FQ2 2000","FQ2 2000","Currency=USD","Period=FQ","BEST_FPERIOD_OVERRIDE=FQ","FILING_STATUS=OR","FA_ADJUSTED=GAAP","Sort=A","Dates=H","DateFormat=P","Fill=—","Direction=H","UseDPDF=Y")</f>
        <v>—</v>
      </c>
      <c r="I54" s="14" t="str">
        <f>_xll.BDH("AMZN US Equity","CASH_FLOW_TO_NET_INC","FQ3 2000","FQ3 2000","Currency=USD","Period=FQ","BEST_FPERIOD_OVERRIDE=FQ","FILING_STATUS=OR","FA_ADJUSTED=GAAP","Sort=A","Dates=H","DateFormat=P","Fill=—","Direction=H","UseDPDF=Y")</f>
        <v>—</v>
      </c>
      <c r="J54" s="14" t="str">
        <f>_xll.BDH("AMZN US Equity","CASH_FLOW_TO_NET_INC","FQ4 2000","FQ4 2000","Currency=USD","Period=FQ","BEST_FPERIOD_OVERRIDE=FQ","FILING_STATUS=OR","FA_ADJUSTED=GAAP","Sort=A","Dates=H","DateFormat=P","Fill=—","Direction=H","UseDPDF=Y")</f>
        <v>—</v>
      </c>
      <c r="K54" s="14" t="str">
        <f>_xll.BDH("AMZN US Equity","CASH_FLOW_TO_NET_INC","FQ1 2001","FQ1 2001","Currency=USD","Period=FQ","BEST_FPERIOD_OVERRIDE=FQ","FILING_STATUS=OR","FA_ADJUSTED=GAAP","Sort=A","Dates=H","DateFormat=P","Fill=—","Direction=H","UseDPDF=Y")</f>
        <v>—</v>
      </c>
      <c r="L54" s="14" t="str">
        <f>_xll.BDH("AMZN US Equity","CASH_FLOW_TO_NET_INC","FQ2 2001","FQ2 2001","Currency=USD","Period=FQ","BEST_FPERIOD_OVERRIDE=FQ","FILING_STATUS=OR","FA_ADJUSTED=GAAP","Sort=A","Dates=H","DateFormat=P","Fill=—","Direction=H","UseDPDF=Y")</f>
        <v>—</v>
      </c>
      <c r="M54" s="14" t="str">
        <f>_xll.BDH("AMZN US Equity","CASH_FLOW_TO_NET_INC","FQ3 2001","FQ3 2001","Currency=USD","Period=FQ","BEST_FPERIOD_OVERRIDE=FQ","FILING_STATUS=OR","FA_ADJUSTED=GAAP","Sort=A","Dates=H","DateFormat=P","Fill=—","Direction=H","UseDPDF=Y")</f>
        <v>—</v>
      </c>
      <c r="N54" s="14">
        <f>_xll.BDH("AMZN US Equity","CASH_FLOW_TO_NET_INC","FQ4 2001","FQ4 2001","Currency=USD","Period=FQ","BEST_FPERIOD_OVERRIDE=FQ","FILING_STATUS=OR","FA_ADJUSTED=GAAP","Sort=A","Dates=H","DateFormat=P","Fill=—","Direction=H","UseDPDF=Y")</f>
        <v>68.629800000000003</v>
      </c>
      <c r="O54" s="14" t="str">
        <f>_xll.BDH("AMZN US Equity","CASH_FLOW_TO_NET_INC","FQ1 2002","FQ1 2002","Currency=USD","Period=FQ","BEST_FPERIOD_OVERRIDE=FQ","FILING_STATUS=OR","FA_ADJUSTED=GAAP","Sort=A","Dates=H","DateFormat=P","Fill=—","Direction=H","UseDPDF=Y")</f>
        <v>—</v>
      </c>
      <c r="P54" s="14" t="str">
        <f>_xll.BDH("AMZN US Equity","CASH_FLOW_TO_NET_INC","FQ2 2002","FQ2 2002","Currency=USD","Period=FQ","BEST_FPERIOD_OVERRIDE=FQ","FILING_STATUS=OR","FA_ADJUSTED=GAAP","Sort=A","Dates=H","DateFormat=P","Fill=—","Direction=H","UseDPDF=Y")</f>
        <v>—</v>
      </c>
      <c r="Q54" s="14" t="str">
        <f>_xll.BDH("AMZN US Equity","CASH_FLOW_TO_NET_INC","FQ3 2002","FQ3 2002","Currency=USD","Period=FQ","BEST_FPERIOD_OVERRIDE=FQ","FILING_STATUS=OR","FA_ADJUSTED=GAAP","Sort=A","Dates=H","DateFormat=P","Fill=—","Direction=H","UseDPDF=Y")</f>
        <v>—</v>
      </c>
      <c r="R54" s="14">
        <f>_xll.BDH("AMZN US Equity","CASH_FLOW_TO_NET_INC","FQ4 2002","FQ4 2002","Currency=USD","Period=FQ","BEST_FPERIOD_OVERRIDE=FQ","FILING_STATUS=OR","FA_ADJUSTED=GAAP","Sort=A","Dates=H","DateFormat=P","Fill=—","Direction=H","UseDPDF=Y")</f>
        <v>140.5428</v>
      </c>
      <c r="S54" s="14" t="str">
        <f>_xll.BDH("AMZN US Equity","CASH_FLOW_TO_NET_INC","FQ1 2003","FQ1 2003","Currency=USD","Period=FQ","BEST_FPERIOD_OVERRIDE=FQ","FILING_STATUS=OR","FA_ADJUSTED=GAAP","Sort=A","Dates=H","DateFormat=P","Fill=—","Direction=H","UseDPDF=Y")</f>
        <v>—</v>
      </c>
      <c r="T54" s="14" t="str">
        <f>_xll.BDH("AMZN US Equity","CASH_FLOW_TO_NET_INC","FQ2 2003","FQ2 2003","Currency=USD","Period=FQ","BEST_FPERIOD_OVERRIDE=FQ","FILING_STATUS=OR","FA_ADJUSTED=GAAP","Sort=A","Dates=H","DateFormat=P","Fill=—","Direction=H","UseDPDF=Y")</f>
        <v>—</v>
      </c>
      <c r="U54" s="14">
        <f>_xll.BDH("AMZN US Equity","CASH_FLOW_TO_NET_INC","FQ3 2003","FQ3 2003","Currency=USD","Period=FQ","BEST_FPERIOD_OVERRIDE=FQ","FILING_STATUS=OR","FA_ADJUSTED=GAAP","Sort=A","Dates=H","DateFormat=P","Fill=—","Direction=H","UseDPDF=Y")</f>
        <v>2.3656999999999999</v>
      </c>
      <c r="V54" s="14">
        <f>_xll.BDH("AMZN US Equity","CASH_FLOW_TO_NET_INC","FQ4 2003","FQ4 2003","Currency=USD","Period=FQ","BEST_FPERIOD_OVERRIDE=FQ","FILING_STATUS=OR","FA_ADJUSTED=GAAP","Sort=A","Dates=H","DateFormat=P","Fill=—","Direction=H","UseDPDF=Y")</f>
        <v>6.5747</v>
      </c>
      <c r="W54" s="14">
        <f>_xll.BDH("AMZN US Equity","CASH_FLOW_TO_NET_INC","FQ1 2004","FQ1 2004","Currency=USD","Period=FQ","BEST_FPERIOD_OVERRIDE=FQ","FILING_STATUS=OR","FA_ADJUSTED=GAAP","Sort=A","Dates=H","DateFormat=P","Fill=—","Direction=H","UseDPDF=Y")</f>
        <v>-2.2557</v>
      </c>
      <c r="X54" s="14">
        <f>_xll.BDH("AMZN US Equity","CASH_FLOW_TO_NET_INC","FQ2 2004","FQ2 2004","Currency=USD","Period=FQ","BEST_FPERIOD_OVERRIDE=FQ","FILING_STATUS=OR","FA_ADJUSTED=GAAP","Sort=A","Dates=H","DateFormat=P","Fill=—","Direction=H","UseDPDF=Y")</f>
        <v>1.8702000000000001</v>
      </c>
      <c r="Y54" s="14">
        <f>_xll.BDH("AMZN US Equity","CASH_FLOW_TO_NET_INC","FQ3 2004","FQ3 2004","Currency=USD","Period=FQ","BEST_FPERIOD_OVERRIDE=FQ","FILING_STATUS=OR","FA_ADJUSTED=GAAP","Sort=A","Dates=H","DateFormat=P","Fill=—","Direction=H","UseDPDF=Y")</f>
        <v>2.1541999999999999</v>
      </c>
      <c r="Z54" s="14">
        <f>_xll.BDH("AMZN US Equity","CASH_FLOW_TO_NET_INC","FQ4 2004","FQ4 2004","Currency=USD","Period=FQ","BEST_FPERIOD_OVERRIDE=FQ","FILING_STATUS=OR","FA_ADJUSTED=GAAP","Sort=A","Dates=H","DateFormat=P","Fill=—","Direction=H","UseDPDF=Y")</f>
        <v>1.6082999999999998</v>
      </c>
      <c r="AA54" s="14">
        <f>_xll.BDH("AMZN US Equity","CASH_FLOW_TO_NET_INC","FQ1 2005","FQ1 2005","Currency=USD","Period=FQ","BEST_FPERIOD_OVERRIDE=FQ","FILING_STATUS=OR","FA_ADJUSTED=GAAP","Sort=A","Dates=H","DateFormat=P","Fill=—","Direction=H","UseDPDF=Y")</f>
        <v>-3.7692000000000001</v>
      </c>
      <c r="AB54" s="14">
        <f>_xll.BDH("AMZN US Equity","CASH_FLOW_TO_NET_INC","FQ2 2005","FQ2 2005","Currency=USD","Period=FQ","BEST_FPERIOD_OVERRIDE=FQ","FILING_STATUS=OR","FA_ADJUSTED=GAAP","Sort=A","Dates=H","DateFormat=P","Fill=—","Direction=H","UseDPDF=Y")</f>
        <v>4.6923000000000004</v>
      </c>
      <c r="AC54" s="14">
        <f>_xll.BDH("AMZN US Equity","CASH_FLOW_TO_NET_INC","FQ3 2005","FQ3 2005","Currency=USD","Period=FQ","BEST_FPERIOD_OVERRIDE=FQ","FILING_STATUS=OR","FA_ADJUSTED=GAAP","Sort=A","Dates=H","DateFormat=P","Fill=—","Direction=H","UseDPDF=Y")</f>
        <v>5.0999999999999996</v>
      </c>
      <c r="AD54" s="14">
        <f>_xll.BDH("AMZN US Equity","CASH_FLOW_TO_NET_INC","FQ4 2005","FQ4 2005","Currency=USD","Period=FQ","BEST_FPERIOD_OVERRIDE=FQ","FILING_STATUS=OR","FA_ADJUSTED=GAAP","Sort=A","Dates=H","DateFormat=P","Fill=—","Direction=H","UseDPDF=Y")</f>
        <v>3.1657999999999999</v>
      </c>
      <c r="AE54" s="14">
        <f>_xll.BDH("AMZN US Equity","CASH_FLOW_TO_NET_INC","FQ1 2006","FQ1 2006","Currency=USD","Period=FQ","BEST_FPERIOD_OVERRIDE=FQ","FILING_STATUS=OR","FA_ADJUSTED=GAAP","Sort=A","Dates=H","DateFormat=P","Fill=—","Direction=H","UseDPDF=Y")</f>
        <v>-5.9412000000000003</v>
      </c>
      <c r="AF54" s="14">
        <f>_xll.BDH("AMZN US Equity","CASH_FLOW_TO_NET_INC","FQ2 2006","FQ2 2006","Currency=USD","Period=FQ","BEST_FPERIOD_OVERRIDE=FQ","FILING_STATUS=OR","FA_ADJUSTED=GAAP","Sort=A","Dates=H","DateFormat=P","Fill=—","Direction=H","UseDPDF=Y")</f>
        <v>5.9091000000000005</v>
      </c>
      <c r="AG54" s="14">
        <f>_xll.BDH("AMZN US Equity","CASH_FLOW_TO_NET_INC","FQ3 2006","FQ3 2006","Currency=USD","Period=FQ","BEST_FPERIOD_OVERRIDE=FQ","FILING_STATUS=OR","FA_ADJUSTED=GAAP","Sort=A","Dates=H","DateFormat=P","Fill=—","Direction=H","UseDPDF=Y")</f>
        <v>6.8421000000000003</v>
      </c>
      <c r="AH54" s="14">
        <f>_xll.BDH("AMZN US Equity","CASH_FLOW_TO_NET_INC","FQ4 2006","FQ4 2006","Currency=USD","Period=FQ","BEST_FPERIOD_OVERRIDE=FQ","FILING_STATUS=OR","FA_ADJUSTED=GAAP","Sort=A","Dates=H","DateFormat=P","Fill=—","Direction=H","UseDPDF=Y")</f>
        <v>7.6020000000000003</v>
      </c>
      <c r="AI54" s="14">
        <f>_xll.BDH("AMZN US Equity","CASH_FLOW_TO_NET_INC","FQ1 2007","FQ1 2007","Currency=USD","Period=FQ","BEST_FPERIOD_OVERRIDE=FQ","FILING_STATUS=OR","FA_ADJUSTED=GAAP","Sort=A","Dates=H","DateFormat=P","Fill=—","Direction=H","UseDPDF=Y")</f>
        <v>-2.5135000000000001</v>
      </c>
      <c r="AJ54" s="14">
        <f>_xll.BDH("AMZN US Equity","CASH_FLOW_TO_NET_INC","FQ2 2007","FQ2 2007","Currency=USD","Period=FQ","BEST_FPERIOD_OVERRIDE=FQ","FILING_STATUS=OR","FA_ADJUSTED=GAAP","Sort=A","Dates=H","DateFormat=P","Fill=—","Direction=H","UseDPDF=Y")</f>
        <v>3.8332999999999999</v>
      </c>
      <c r="AK54" s="14">
        <f>_xll.BDH("AMZN US Equity","CASH_FLOW_TO_NET_INC","FQ3 2007","FQ3 2007","Currency=USD","Period=FQ","BEST_FPERIOD_OVERRIDE=FQ","FILING_STATUS=OR","FA_ADJUSTED=GAAP","Sort=A","Dates=H","DateFormat=P","Fill=—","Direction=H","UseDPDF=Y")</f>
        <v>2.9624999999999999</v>
      </c>
      <c r="AL54" s="14">
        <f>_xll.BDH("AMZN US Equity","CASH_FLOW_TO_NET_INC","FQ4 2007","FQ4 2007","Currency=USD","Period=FQ","BEST_FPERIOD_OVERRIDE=FQ","FILING_STATUS=OR","FA_ADJUSTED=GAAP","Sort=A","Dates=H","DateFormat=P","Fill=—","Direction=H","UseDPDF=Y")</f>
        <v>5.5507</v>
      </c>
      <c r="AM54" s="14">
        <f>_xll.BDH("AMZN US Equity","CASH_FLOW_TO_NET_INC","FQ1 2008","FQ1 2008","Currency=USD","Period=FQ","BEST_FPERIOD_OVERRIDE=FQ","FILING_STATUS=OR","FA_ADJUSTED=GAAP","Sort=A","Dates=H","DateFormat=P","Fill=—","Direction=H","UseDPDF=Y")</f>
        <v>-4.5105000000000004</v>
      </c>
      <c r="AN54" s="14">
        <f>_xll.BDH("AMZN US Equity","CASH_FLOW_TO_NET_INC","FQ2 2008","FQ2 2008","Currency=USD","Period=FQ","BEST_FPERIOD_OVERRIDE=FQ","FILING_STATUS=OR","FA_ADJUSTED=GAAP","Sort=A","Dates=H","DateFormat=P","Fill=—","Direction=H","UseDPDF=Y")</f>
        <v>2.1962000000000002</v>
      </c>
      <c r="AO54" s="14">
        <f>_xll.BDH("AMZN US Equity","CASH_FLOW_TO_NET_INC","FQ3 2008","FQ3 2008","Currency=USD","Period=FQ","BEST_FPERIOD_OVERRIDE=FQ","FILING_STATUS=OR","FA_ADJUSTED=GAAP","Sort=A","Dates=H","DateFormat=P","Fill=—","Direction=H","UseDPDF=Y")</f>
        <v>3.5931999999999999</v>
      </c>
      <c r="AP54" s="14">
        <f>_xll.BDH("AMZN US Equity","CASH_FLOW_TO_NET_INC","FQ4 2008","FQ4 2008","Currency=USD","Period=FQ","BEST_FPERIOD_OVERRIDE=FQ","FILING_STATUS=OR","FA_ADJUSTED=GAAP","Sort=A","Dates=H","DateFormat=P","Fill=—","Direction=H","UseDPDF=Y")</f>
        <v>6.9821999999999997</v>
      </c>
    </row>
    <row r="55" spans="1:42" x14ac:dyDescent="0.25">
      <c r="A55" s="7" t="s">
        <v>177</v>
      </c>
      <c r="B55" s="7"/>
      <c r="C55" s="7" t="s">
        <v>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375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10" t="s">
        <v>376</v>
      </c>
      <c r="B6" s="10" t="s">
        <v>275</v>
      </c>
      <c r="C6" s="13">
        <f>_xll.BDH("AMZN US Equity","BS_SH_OUT","FQ4 1998","FQ4 1998","Currency=USD","Period=FQ","BEST_FPERIOD_OVERRIDE=FQ","FILING_STATUS=OR","Sort=A","Dates=H","DateFormat=P","Fill=—","Direction=H","UseDPDF=Y")</f>
        <v>318.53399999999999</v>
      </c>
      <c r="D6" s="13">
        <f>_xll.BDH("AMZN US Equity","BS_SH_OUT","FQ1 1999","FQ1 1999","Currency=USD","Period=FQ","BEST_FPERIOD_OVERRIDE=FQ","FILING_STATUS=OR","Sort=A","Dates=H","DateFormat=P","Fill=—","Direction=H","UseDPDF=Y")</f>
        <v>322.74200000000002</v>
      </c>
      <c r="E6" s="13">
        <f>_xll.BDH("AMZN US Equity","BS_SH_OUT","FQ2 1999","FQ2 1999","Currency=USD","Period=FQ","BEST_FPERIOD_OVERRIDE=FQ","FILING_STATUS=OR","Sort=A","Dates=H","DateFormat=P","Fill=—","Direction=H","UseDPDF=Y")</f>
        <v>336.30599999999998</v>
      </c>
      <c r="F6" s="13">
        <f>_xll.BDH("AMZN US Equity","BS_SH_OUT","FQ3 1999","FQ3 1999","Currency=USD","Period=FQ","BEST_FPERIOD_OVERRIDE=FQ","FILING_STATUS=OR","Sort=A","Dates=H","DateFormat=P","Fill=—","Direction=H","UseDPDF=Y")</f>
        <v>340.78699999999998</v>
      </c>
      <c r="G6" s="13">
        <f>_xll.BDH("AMZN US Equity","BS_SH_OUT","FQ4 1999","FQ4 1999","Currency=USD","Period=FQ","BEST_FPERIOD_OVERRIDE=FQ","FILING_STATUS=OR","Sort=A","Dates=H","DateFormat=P","Fill=—","Direction=H","UseDPDF=Y")</f>
        <v>345.15499999999997</v>
      </c>
      <c r="H6" s="13">
        <f>_xll.BDH("AMZN US Equity","BS_SH_OUT","FQ1 2000","FQ1 2000","Currency=USD","Period=FQ","BEST_FPERIOD_OVERRIDE=FQ","FILING_STATUS=OR","Sort=A","Dates=H","DateFormat=P","Fill=—","Direction=H","UseDPDF=Y")</f>
        <v>349.959</v>
      </c>
      <c r="I6" s="13">
        <f>_xll.BDH("AMZN US Equity","BS_SH_OUT","FQ3 2000","FQ3 2000","Currency=USD","Period=FQ","BEST_FPERIOD_OVERRIDE=FQ","FILING_STATUS=OR","Sort=A","Dates=H","DateFormat=P","Fill=—","Direction=H","UseDPDF=Y")</f>
        <v>356.10199999999998</v>
      </c>
      <c r="J6" s="13">
        <f>_xll.BDH("AMZN US Equity","BS_SH_OUT","FQ4 2000","FQ4 2000","Currency=USD","Period=FQ","BEST_FPERIOD_OVERRIDE=FQ","FILING_STATUS=OR","Sort=A","Dates=H","DateFormat=P","Fill=—","Direction=H","UseDPDF=Y")</f>
        <v>357.14</v>
      </c>
      <c r="K6" s="13">
        <f>_xll.BDH("AMZN US Equity","BS_SH_OUT","FQ1 2001","FQ1 2001","Currency=USD","Period=FQ","BEST_FPERIOD_OVERRIDE=FQ","FILING_STATUS=OR","Sort=A","Dates=H","DateFormat=P","Fill=—","Direction=H","UseDPDF=Y")</f>
        <v>358.84699999999998</v>
      </c>
      <c r="L6" s="13">
        <f>_xll.BDH("AMZN US Equity","BS_SH_OUT","FQ2 2001","FQ2 2001","Currency=USD","Period=FQ","BEST_FPERIOD_OVERRIDE=FQ","FILING_STATUS=OR","Sort=A","Dates=H","DateFormat=P","Fill=—","Direction=H","UseDPDF=Y")</f>
        <v>362.19099999999997</v>
      </c>
      <c r="M6" s="13">
        <f>_xll.BDH("AMZN US Equity","BS_SH_OUT","FQ3 2001","FQ3 2001","Currency=USD","Period=FQ","BEST_FPERIOD_OVERRIDE=FQ","FILING_STATUS=OR","Sort=A","Dates=H","DateFormat=P","Fill=—","Direction=H","UseDPDF=Y")</f>
        <v>371.76600000000002</v>
      </c>
      <c r="N6" s="13">
        <f>_xll.BDH("AMZN US Equity","BS_SH_OUT","FQ4 2001","FQ4 2001","Currency=USD","Period=FQ","BEST_FPERIOD_OVERRIDE=FQ","FILING_STATUS=OR","Sort=A","Dates=H","DateFormat=P","Fill=—","Direction=H","UseDPDF=Y")</f>
        <v>373.21800000000002</v>
      </c>
      <c r="O6" s="13">
        <f>_xll.BDH("AMZN US Equity","BS_SH_OUT","FQ1 2002","FQ1 2002","Currency=USD","Period=FQ","BEST_FPERIOD_OVERRIDE=FQ","FILING_STATUS=OR","Sort=A","Dates=H","DateFormat=P","Fill=—","Direction=H","UseDPDF=Y")</f>
        <v>375.10899999999998</v>
      </c>
      <c r="P6" s="13">
        <f>_xll.BDH("AMZN US Equity","BS_SH_OUT","FQ2 2002","FQ2 2002","Currency=USD","Period=FQ","BEST_FPERIOD_OVERRIDE=FQ","FILING_STATUS=OR","Sort=A","Dates=H","DateFormat=P","Fill=—","Direction=H","UseDPDF=Y")</f>
        <v>380.30399999999997</v>
      </c>
      <c r="Q6" s="13">
        <f>_xll.BDH("AMZN US Equity","BS_SH_OUT","FQ3 2002","FQ3 2002","Currency=USD","Period=FQ","BEST_FPERIOD_OVERRIDE=FQ","FILING_STATUS=OR","Sort=A","Dates=H","DateFormat=P","Fill=—","Direction=H","UseDPDF=Y")</f>
        <v>381.21600000000001</v>
      </c>
      <c r="R6" s="13">
        <f>_xll.BDH("AMZN US Equity","BS_SH_OUT","FQ4 2002","FQ4 2002","Currency=USD","Period=FQ","BEST_FPERIOD_OVERRIDE=FQ","FILING_STATUS=OR","Sort=A","Dates=H","DateFormat=P","Fill=—","Direction=H","UseDPDF=Y")</f>
        <v>387.90600000000001</v>
      </c>
      <c r="S6" s="13">
        <f>_xll.BDH("AMZN US Equity","BS_SH_OUT","FQ1 2003","FQ1 2003","Currency=USD","Period=FQ","BEST_FPERIOD_OVERRIDE=FQ","FILING_STATUS=OR","Sort=A","Dates=H","DateFormat=P","Fill=—","Direction=H","UseDPDF=Y")</f>
        <v>391.60899999999998</v>
      </c>
      <c r="T6" s="13">
        <f>_xll.BDH("AMZN US Equity","BS_SH_OUT","FQ2 2003","FQ2 2003","Currency=USD","Period=FQ","BEST_FPERIOD_OVERRIDE=FQ","FILING_STATUS=OR","Sort=A","Dates=H","DateFormat=P","Fill=—","Direction=H","UseDPDF=Y")</f>
        <v>396.73</v>
      </c>
      <c r="U6" s="13">
        <f>_xll.BDH("AMZN US Equity","BS_SH_OUT","FQ3 2003","FQ3 2003","Currency=USD","Period=FQ","BEST_FPERIOD_OVERRIDE=FQ","FILING_STATUS=OR","Sort=A","Dates=H","DateFormat=P","Fill=—","Direction=H","UseDPDF=Y")</f>
        <v>400.42200000000003</v>
      </c>
      <c r="V6" s="13">
        <f>_xll.BDH("AMZN US Equity","BS_SH_OUT","FQ4 2003","FQ4 2003","Currency=USD","Period=FQ","BEST_FPERIOD_OVERRIDE=FQ","FILING_STATUS=OR","Sort=A","Dates=H","DateFormat=P","Fill=—","Direction=H","UseDPDF=Y")</f>
        <v>403.35399999999998</v>
      </c>
      <c r="W6" s="13">
        <f>_xll.BDH("AMZN US Equity","BS_SH_OUT","FQ1 2004","FQ1 2004","Currency=USD","Period=FQ","BEST_FPERIOD_OVERRIDE=FQ","FILING_STATUS=OR","Sort=A","Dates=H","DateFormat=P","Fill=—","Direction=H","UseDPDF=Y")</f>
        <v>404.89400000000001</v>
      </c>
      <c r="X6" s="13">
        <f>_xll.BDH("AMZN US Equity","BS_SH_OUT","FQ2 2004","FQ2 2004","Currency=USD","Period=FQ","BEST_FPERIOD_OVERRIDE=FQ","FILING_STATUS=OR","Sort=A","Dates=H","DateFormat=P","Fill=—","Direction=H","UseDPDF=Y")</f>
        <v>406.71100000000001</v>
      </c>
      <c r="Y6" s="13">
        <f>_xll.BDH("AMZN US Equity","BS_SH_OUT","FQ3 2004","FQ3 2004","Currency=USD","Period=FQ","BEST_FPERIOD_OVERRIDE=FQ","FILING_STATUS=OR","Sort=A","Dates=H","DateFormat=P","Fill=—","Direction=H","UseDPDF=Y")</f>
        <v>407.464</v>
      </c>
      <c r="Z6" s="13">
        <f>_xll.BDH("AMZN US Equity","BS_SH_OUT","FQ4 2004","FQ4 2004","Currency=USD","Period=FQ","BEST_FPERIOD_OVERRIDE=FQ","FILING_STATUS=OR","Sort=A","Dates=H","DateFormat=P","Fill=—","Direction=H","UseDPDF=Y")</f>
        <v>409.71100000000001</v>
      </c>
      <c r="AA6" s="13">
        <f>_xll.BDH("AMZN US Equity","BS_SH_OUT","FQ1 2005","FQ1 2005","Currency=USD","Period=FQ","BEST_FPERIOD_OVERRIDE=FQ","FILING_STATUS=OR","Sort=A","Dates=H","DateFormat=P","Fill=—","Direction=H","UseDPDF=Y")</f>
        <v>411</v>
      </c>
      <c r="AB6" s="13">
        <f>_xll.BDH("AMZN US Equity","BS_SH_OUT","FQ2 2005","FQ2 2005","Currency=USD","Period=FQ","BEST_FPERIOD_OVERRIDE=FQ","FILING_STATUS=OR","Sort=A","Dates=H","DateFormat=P","Fill=—","Direction=H","UseDPDF=Y")</f>
        <v>412</v>
      </c>
      <c r="AC6" s="13">
        <f>_xll.BDH("AMZN US Equity","BS_SH_OUT","FQ3 2005","FQ3 2005","Currency=USD","Period=FQ","BEST_FPERIOD_OVERRIDE=FQ","FILING_STATUS=OR","Sort=A","Dates=H","DateFormat=P","Fill=—","Direction=H","UseDPDF=Y")</f>
        <v>414</v>
      </c>
      <c r="AD6" s="13">
        <f>_xll.BDH("AMZN US Equity","BS_SH_OUT","FQ4 2005","FQ4 2005","Currency=USD","Period=FQ","BEST_FPERIOD_OVERRIDE=FQ","FILING_STATUS=OR","Sort=A","Dates=H","DateFormat=P","Fill=—","Direction=H","UseDPDF=Y")</f>
        <v>416</v>
      </c>
      <c r="AE6" s="13">
        <f>_xll.BDH("AMZN US Equity","BS_SH_OUT","FQ1 2006","FQ1 2006","Currency=USD","Period=FQ","BEST_FPERIOD_OVERRIDE=FQ","FILING_STATUS=OR","Sort=A","Dates=H","DateFormat=P","Fill=—","Direction=H","UseDPDF=Y")</f>
        <v>417</v>
      </c>
      <c r="AF6" s="13">
        <f>_xll.BDH("AMZN US Equity","BS_SH_OUT","FQ2 2006","FQ2 2006","Currency=USD","Period=FQ","BEST_FPERIOD_OVERRIDE=FQ","FILING_STATUS=OR","Sort=A","Dates=H","DateFormat=P","Fill=—","Direction=H","UseDPDF=Y")</f>
        <v>419</v>
      </c>
      <c r="AG6" s="13">
        <f>_xll.BDH("AMZN US Equity","BS_SH_OUT","FQ3 2006","FQ3 2006","Currency=USD","Period=FQ","BEST_FPERIOD_OVERRIDE=FQ","FILING_STATUS=OR","Sort=A","Dates=H","DateFormat=P","Fill=—","Direction=H","UseDPDF=Y")</f>
        <v>411</v>
      </c>
      <c r="AH6" s="13">
        <f>_xll.BDH("AMZN US Equity","BS_SH_OUT","FQ4 2006","FQ4 2006","Currency=USD","Period=FQ","BEST_FPERIOD_OVERRIDE=FQ","FILING_STATUS=OR","Sort=A","Dates=H","DateFormat=P","Fill=—","Direction=H","UseDPDF=Y")</f>
        <v>414</v>
      </c>
      <c r="AI6" s="13">
        <f>_xll.BDH("AMZN US Equity","BS_SH_OUT","FQ1 2007","FQ1 2007","Currency=USD","Period=FQ","BEST_FPERIOD_OVERRIDE=FQ","FILING_STATUS=OR","Sort=A","Dates=H","DateFormat=P","Fill=—","Direction=H","UseDPDF=Y")</f>
        <v>409</v>
      </c>
      <c r="AJ6" s="13">
        <f>_xll.BDH("AMZN US Equity","BS_SH_OUT","FQ2 2007","FQ2 2007","Currency=USD","Period=FQ","BEST_FPERIOD_OVERRIDE=FQ","FILING_STATUS=OR","Sort=A","Dates=H","DateFormat=P","Fill=—","Direction=H","UseDPDF=Y")</f>
        <v>413</v>
      </c>
      <c r="AK6" s="13">
        <f>_xll.BDH("AMZN US Equity","BS_SH_OUT","FQ3 2007","FQ3 2007","Currency=USD","Period=FQ","BEST_FPERIOD_OVERRIDE=FQ","FILING_STATUS=OR","Sort=A","Dates=H","DateFormat=P","Fill=—","Direction=H","UseDPDF=Y")</f>
        <v>415</v>
      </c>
      <c r="AL6" s="13">
        <f>_xll.BDH("AMZN US Equity","BS_SH_OUT","FQ4 2007","FQ4 2007","Currency=USD","Period=FQ","BEST_FPERIOD_OVERRIDE=FQ","FILING_STATUS=OR","Sort=A","Dates=H","DateFormat=P","Fill=—","Direction=H","UseDPDF=Y")</f>
        <v>431</v>
      </c>
      <c r="AM6" s="13">
        <f>_xll.BDH("AMZN US Equity","BS_SH_OUT","FQ1 2008","FQ1 2008","Currency=USD","Period=FQ","BEST_FPERIOD_OVERRIDE=FQ","FILING_STATUS=OR","Sort=A","Dates=H","DateFormat=P","Fill=—","Direction=H","UseDPDF=Y")</f>
        <v>417</v>
      </c>
      <c r="AN6" s="13">
        <f>_xll.BDH("AMZN US Equity","BS_SH_OUT","FQ2 2008","FQ2 2008","Currency=USD","Period=FQ","BEST_FPERIOD_OVERRIDE=FQ","FILING_STATUS=OR","Sort=A","Dates=H","DateFormat=P","Fill=—","Direction=H","UseDPDF=Y")</f>
        <v>426</v>
      </c>
      <c r="AO6" s="13">
        <f>_xll.BDH("AMZN US Equity","BS_SH_OUT","FQ3 2008","FQ3 2008","Currency=USD","Period=FQ","BEST_FPERIOD_OVERRIDE=FQ","FILING_STATUS=OR","Sort=A","Dates=H","DateFormat=P","Fill=—","Direction=H","UseDPDF=Y")</f>
        <v>429</v>
      </c>
      <c r="AP6" s="13">
        <f>_xll.BDH("AMZN US Equity","BS_SH_OUT","FQ4 2008","FQ4 2008","Currency=USD","Period=FQ","BEST_FPERIOD_OVERRIDE=FQ","FILING_STATUS=OR","Sort=A","Dates=H","DateFormat=P","Fill=—","Direction=H","UseDPDF=Y")</f>
        <v>428</v>
      </c>
    </row>
    <row r="7" spans="1:42" x14ac:dyDescent="0.25">
      <c r="A7" s="10" t="s">
        <v>143</v>
      </c>
      <c r="B7" s="10" t="s">
        <v>144</v>
      </c>
      <c r="C7" s="13">
        <f>_xll.BDH("AMZN US Equity","IS_SH_FOR_DILUTED_EPS","FQ4 1998","FQ4 1998","Currency=USD","Period=FQ","BEST_FPERIOD_OVERRIDE=FQ","FILING_STATUS=OR","Sort=A","Dates=H","DateFormat=P","Fill=—","Direction=H","UseDPDF=Y")</f>
        <v>308.77800000000002</v>
      </c>
      <c r="D7" s="13">
        <f>_xll.BDH("AMZN US Equity","IS_SH_FOR_DILUTED_EPS","FQ1 1999","FQ1 1999","Currency=USD","Period=FQ","BEST_FPERIOD_OVERRIDE=FQ","FILING_STATUS=OR","Sort=A","Dates=H","DateFormat=P","Fill=—","Direction=H","UseDPDF=Y")</f>
        <v>313.79399999999998</v>
      </c>
      <c r="E7" s="13">
        <f>_xll.BDH("AMZN US Equity","IS_SH_FOR_DILUTED_EPS","FQ2 1999","FQ2 1999","Currency=USD","Period=FQ","BEST_FPERIOD_OVERRIDE=FQ","FILING_STATUS=OR","Sort=A","Dates=H","DateFormat=P","Fill=—","Direction=H","UseDPDF=Y")</f>
        <v>322.33999999999997</v>
      </c>
      <c r="F7" s="13">
        <f>_xll.BDH("AMZN US Equity","IS_SH_FOR_DILUTED_EPS","FQ3 1999","FQ3 1999","Currency=USD","Period=FQ","BEST_FPERIOD_OVERRIDE=FQ","FILING_STATUS=OR","Sort=A","Dates=H","DateFormat=P","Fill=—","Direction=H","UseDPDF=Y")</f>
        <v>332.488</v>
      </c>
      <c r="G7" s="13">
        <f>_xll.BDH("AMZN US Equity","IS_SH_FOR_DILUTED_EPS","FQ4 1999","FQ4 1999","Currency=USD","Period=FQ","BEST_FPERIOD_OVERRIDE=FQ","FILING_STATUS=OR","Sort=A","Dates=H","DateFormat=P","Fill=—","Direction=H","UseDPDF=Y")</f>
        <v>338.38900000000001</v>
      </c>
      <c r="H7" s="13">
        <f>_xll.BDH("AMZN US Equity","IS_SH_FOR_DILUTED_EPS","FQ1 2000","FQ1 2000","Currency=USD","Period=FQ","BEST_FPERIOD_OVERRIDE=FQ","FILING_STATUS=OR","Sort=A","Dates=H","DateFormat=P","Fill=—","Direction=H","UseDPDF=Y")</f>
        <v>343.88400000000001</v>
      </c>
      <c r="I7" s="13">
        <f>_xll.BDH("AMZN US Equity","IS_SH_FOR_DILUTED_EPS","FQ3 2000","FQ3 2000","Currency=USD","Period=FQ","BEST_FPERIOD_OVERRIDE=FQ","FILING_STATUS=OR","Sort=A","Dates=H","DateFormat=P","Fill=—","Direction=H","UseDPDF=Y")</f>
        <v>353.95400000000001</v>
      </c>
      <c r="J7" s="13">
        <f>_xll.BDH("AMZN US Equity","IS_SH_FOR_DILUTED_EPS","FQ4 2000","FQ4 2000","Currency=USD","Period=FQ","BEST_FPERIOD_OVERRIDE=FQ","FILING_STATUS=OR","Sort=A","Dates=H","DateFormat=P","Fill=—","Direction=H","UseDPDF=Y")</f>
        <v>355.68099999999998</v>
      </c>
      <c r="K7" s="13">
        <f>_xll.BDH("AMZN US Equity","IS_SH_FOR_DILUTED_EPS","FQ1 2001","FQ1 2001","Currency=USD","Period=FQ","BEST_FPERIOD_OVERRIDE=FQ","FILING_STATUS=OR","Sort=A","Dates=H","DateFormat=P","Fill=—","Direction=H","UseDPDF=Y")</f>
        <v>357.42399999999998</v>
      </c>
      <c r="L7" s="13">
        <f>_xll.BDH("AMZN US Equity","IS_SH_FOR_DILUTED_EPS","FQ2 2001","FQ2 2001","Currency=USD","Period=FQ","BEST_FPERIOD_OVERRIDE=FQ","FILING_STATUS=OR","Sort=A","Dates=H","DateFormat=P","Fill=—","Direction=H","UseDPDF=Y")</f>
        <v>359.75200000000001</v>
      </c>
      <c r="M7" s="13">
        <f>_xll.BDH("AMZN US Equity","IS_SH_FOR_DILUTED_EPS","FQ3 2001","FQ3 2001","Currency=USD","Period=FQ","BEST_FPERIOD_OVERRIDE=FQ","FILING_STATUS=OR","Sort=A","Dates=H","DateFormat=P","Fill=—","Direction=H","UseDPDF=Y")</f>
        <v>368.05200000000002</v>
      </c>
      <c r="N7" s="13">
        <f>_xll.BDH("AMZN US Equity","IS_SH_FOR_DILUTED_EPS","FQ4 2001","FQ4 2001","Currency=USD","Period=FQ","BEST_FPERIOD_OVERRIDE=FQ","FILING_STATUS=OR","Sort=A","Dates=H","DateFormat=P","Fill=—","Direction=H","UseDPDF=Y")</f>
        <v>384.04500000000002</v>
      </c>
      <c r="O7" s="13">
        <f>_xll.BDH("AMZN US Equity","IS_SH_FOR_DILUTED_EPS","FQ1 2002","FQ1 2002","Currency=USD","Period=FQ","BEST_FPERIOD_OVERRIDE=FQ","FILING_STATUS=OR","Sort=A","Dates=H","DateFormat=P","Fill=—","Direction=H","UseDPDF=Y")</f>
        <v>373.03100000000001</v>
      </c>
      <c r="P7" s="13">
        <f>_xll.BDH("AMZN US Equity","IS_SH_FOR_DILUTED_EPS","FQ2 2002","FQ2 2002","Currency=USD","Period=FQ","BEST_FPERIOD_OVERRIDE=FQ","FILING_STATUS=OR","Sort=A","Dates=H","DateFormat=P","Fill=—","Direction=H","UseDPDF=Y")</f>
        <v>376.93700000000001</v>
      </c>
      <c r="Q7" s="13">
        <f>_xll.BDH("AMZN US Equity","IS_SH_FOR_DILUTED_EPS","FQ3 2002","FQ3 2002","Currency=USD","Period=FQ","BEST_FPERIOD_OVERRIDE=FQ","FILING_STATUS=OR","Sort=A","Dates=H","DateFormat=P","Fill=—","Direction=H","UseDPDF=Y")</f>
        <v>379.65</v>
      </c>
      <c r="R7" s="13">
        <f>_xll.BDH("AMZN US Equity","IS_SH_FOR_DILUTED_EPS","FQ4 2002","FQ4 2002","Currency=USD","Period=FQ","BEST_FPERIOD_OVERRIDE=FQ","FILING_STATUS=OR","Sort=A","Dates=H","DateFormat=P","Fill=—","Direction=H","UseDPDF=Y")</f>
        <v>407.05599999999998</v>
      </c>
      <c r="S7" s="13">
        <f>_xll.BDH("AMZN US Equity","IS_SH_FOR_DILUTED_EPS","FQ1 2003","FQ1 2003","Currency=USD","Period=FQ","BEST_FPERIOD_OVERRIDE=FQ","FILING_STATUS=OR","Sort=A","Dates=H","DateFormat=P","Fill=—","Direction=H","UseDPDF=Y")</f>
        <v>411.09100000000001</v>
      </c>
      <c r="T7" s="13">
        <f>_xll.BDH("AMZN US Equity","IS_SH_FOR_DILUTED_EPS","FQ2 2003","FQ2 2003","Currency=USD","Period=FQ","BEST_FPERIOD_OVERRIDE=FQ","FILING_STATUS=OR","Sort=A","Dates=H","DateFormat=P","Fill=—","Direction=H","UseDPDF=Y")</f>
        <v>418.13799999999998</v>
      </c>
      <c r="U7" s="13">
        <f>_xll.BDH("AMZN US Equity","IS_SH_FOR_DILUTED_EPS","FQ3 2003","FQ3 2003","Currency=USD","Period=FQ","BEST_FPERIOD_OVERRIDE=FQ","FILING_STATUS=OR","Sort=A","Dates=H","DateFormat=P","Fill=—","Direction=H","UseDPDF=Y")</f>
        <v>422.80200000000002</v>
      </c>
      <c r="V7" s="13">
        <f>_xll.BDH("AMZN US Equity","IS_SH_FOR_DILUTED_EPS","FQ4 2003","FQ4 2003","Currency=USD","Period=FQ","BEST_FPERIOD_OVERRIDE=FQ","FILING_STATUS=OR","Sort=A","Dates=H","DateFormat=P","Fill=—","Direction=H","UseDPDF=Y")</f>
        <v>425.214</v>
      </c>
      <c r="W7" s="13">
        <f>_xll.BDH("AMZN US Equity","IS_SH_FOR_DILUTED_EPS","FQ1 2004","FQ1 2004","Currency=USD","Period=FQ","BEST_FPERIOD_OVERRIDE=FQ","FILING_STATUS=OR","Sort=A","Dates=H","DateFormat=P","Fill=—","Direction=H","UseDPDF=Y")</f>
        <v>424.51900000000001</v>
      </c>
      <c r="X7" s="13">
        <f>_xll.BDH("AMZN US Equity","IS_SH_FOR_DILUTED_EPS","FQ2 2004","FQ2 2004","Currency=USD","Period=FQ","BEST_FPERIOD_OVERRIDE=FQ","FILING_STATUS=OR","Sort=A","Dates=H","DateFormat=P","Fill=—","Direction=H","UseDPDF=Y")</f>
        <v>424.678</v>
      </c>
      <c r="Y7" s="13">
        <f>_xll.BDH("AMZN US Equity","IS_SH_FOR_DILUTED_EPS","FQ3 2004","FQ3 2004","Currency=USD","Period=FQ","BEST_FPERIOD_OVERRIDE=FQ","FILING_STATUS=OR","Sort=A","Dates=H","DateFormat=P","Fill=—","Direction=H","UseDPDF=Y")</f>
        <v>424.77699999999999</v>
      </c>
      <c r="Z7" s="13">
        <f>_xll.BDH("AMZN US Equity","IS_SH_FOR_DILUTED_EPS","FQ4 2004","FQ4 2004","Currency=USD","Period=FQ","BEST_FPERIOD_OVERRIDE=FQ","FILING_STATUS=OR","Sort=A","Dates=H","DateFormat=P","Fill=—","Direction=H","UseDPDF=Y")</f>
        <v>425.03399999999999</v>
      </c>
      <c r="AA7" s="13">
        <f>_xll.BDH("AMZN US Equity","IS_SH_FOR_DILUTED_EPS","FQ1 2005","FQ1 2005","Currency=USD","Period=FQ","BEST_FPERIOD_OVERRIDE=FQ","FILING_STATUS=OR","Sort=A","Dates=H","DateFormat=P","Fill=—","Direction=H","UseDPDF=Y")</f>
        <v>423</v>
      </c>
      <c r="AB7" s="13">
        <f>_xll.BDH("AMZN US Equity","IS_SH_FOR_DILUTED_EPS","FQ2 2005","FQ2 2005","Currency=USD","Period=FQ","BEST_FPERIOD_OVERRIDE=FQ","FILING_STATUS=OR","Sort=A","Dates=H","DateFormat=P","Fill=—","Direction=H","UseDPDF=Y")</f>
        <v>425</v>
      </c>
      <c r="AC7" s="13">
        <f>_xll.BDH("AMZN US Equity","IS_SH_FOR_DILUTED_EPS","FQ3 2005","FQ3 2005","Currency=USD","Period=FQ","BEST_FPERIOD_OVERRIDE=FQ","FILING_STATUS=OR","Sort=A","Dates=H","DateFormat=P","Fill=—","Direction=H","UseDPDF=Y")</f>
        <v>428</v>
      </c>
      <c r="AD7" s="13">
        <f>_xll.BDH("AMZN US Equity","IS_SH_FOR_DILUTED_EPS","FQ4 2005","FQ4 2005","Currency=USD","Period=FQ","BEST_FPERIOD_OVERRIDE=FQ","FILING_STATUS=OR","Sort=A","Dates=H","DateFormat=P","Fill=—","Direction=H","UseDPDF=Y")</f>
        <v>426</v>
      </c>
      <c r="AE7" s="13">
        <f>_xll.BDH("AMZN US Equity","IS_SH_FOR_DILUTED_EPS","FQ1 2006","FQ1 2006","Currency=USD","Period=FQ","BEST_FPERIOD_OVERRIDE=FQ","FILING_STATUS=OR","Sort=A","Dates=H","DateFormat=P","Fill=—","Direction=H","UseDPDF=Y")</f>
        <v>426</v>
      </c>
      <c r="AF7" s="13">
        <f>_xll.BDH("AMZN US Equity","IS_SH_FOR_DILUTED_EPS","FQ2 2006","FQ2 2006","Currency=USD","Period=FQ","BEST_FPERIOD_OVERRIDE=FQ","FILING_STATUS=OR","Sort=A","Dates=H","DateFormat=P","Fill=—","Direction=H","UseDPDF=Y")</f>
        <v>426</v>
      </c>
      <c r="AG7" s="13">
        <f>_xll.BDH("AMZN US Equity","IS_SH_FOR_DILUTED_EPS","FQ3 2006","FQ3 2006","Currency=USD","Period=FQ","BEST_FPERIOD_OVERRIDE=FQ","FILING_STATUS=OR","Sort=A","Dates=H","DateFormat=P","Fill=—","Direction=H","UseDPDF=Y")</f>
        <v>424</v>
      </c>
      <c r="AH7" s="13">
        <f>_xll.BDH("AMZN US Equity","IS_SH_FOR_DILUTED_EPS","FQ4 2006","FQ4 2006","Currency=USD","Period=FQ","BEST_FPERIOD_OVERRIDE=FQ","FILING_STATUS=OR","Sort=A","Dates=H","DateFormat=P","Fill=—","Direction=H","UseDPDF=Y")</f>
        <v>424</v>
      </c>
      <c r="AI7" s="13">
        <f>_xll.BDH("AMZN US Equity","IS_SH_FOR_DILUTED_EPS","FQ1 2007","FQ1 2007","Currency=USD","Period=FQ","BEST_FPERIOD_OVERRIDE=FQ","FILING_STATUS=OR","Sort=A","Dates=H","DateFormat=P","Fill=—","Direction=H","UseDPDF=Y")</f>
        <v>420</v>
      </c>
      <c r="AJ7" s="13">
        <f>_xll.BDH("AMZN US Equity","IS_SH_FOR_DILUTED_EPS","FQ2 2007","FQ2 2007","Currency=USD","Period=FQ","BEST_FPERIOD_OVERRIDE=FQ","FILING_STATUS=OR","Sort=A","Dates=H","DateFormat=P","Fill=—","Direction=H","UseDPDF=Y")</f>
        <v>423</v>
      </c>
      <c r="AK7" s="13">
        <f>_xll.BDH("AMZN US Equity","IS_SH_FOR_DILUTED_EPS","FQ3 2007","FQ3 2007","Currency=USD","Period=FQ","BEST_FPERIOD_OVERRIDE=FQ","FILING_STATUS=OR","Sort=A","Dates=H","DateFormat=P","Fill=—","Direction=H","UseDPDF=Y")</f>
        <v>425</v>
      </c>
      <c r="AL7" s="13">
        <f>_xll.BDH("AMZN US Equity","IS_SH_FOR_DILUTED_EPS","FQ4 2007","FQ4 2007","Currency=USD","Period=FQ","BEST_FPERIOD_OVERRIDE=FQ","FILING_STATUS=OR","Sort=A","Dates=H","DateFormat=P","Fill=—","Direction=H","UseDPDF=Y")</f>
        <v>427</v>
      </c>
      <c r="AM7" s="13">
        <f>_xll.BDH("AMZN US Equity","IS_SH_FOR_DILUTED_EPS","FQ1 2008","FQ1 2008","Currency=USD","Period=FQ","BEST_FPERIOD_OVERRIDE=FQ","FILING_STATUS=OR","Sort=A","Dates=H","DateFormat=P","Fill=—","Direction=H","UseDPDF=Y")</f>
        <v>426</v>
      </c>
      <c r="AN7" s="13">
        <f>_xll.BDH("AMZN US Equity","IS_SH_FOR_DILUTED_EPS","FQ2 2008","FQ2 2008","Currency=USD","Period=FQ","BEST_FPERIOD_OVERRIDE=FQ","FILING_STATUS=OR","Sort=A","Dates=H","DateFormat=P","Fill=—","Direction=H","UseDPDF=Y")</f>
        <v>430</v>
      </c>
      <c r="AO7" s="13">
        <f>_xll.BDH("AMZN US Equity","IS_SH_FOR_DILUTED_EPS","FQ3 2008","FQ3 2008","Currency=USD","Period=FQ","BEST_FPERIOD_OVERRIDE=FQ","FILING_STATUS=OR","Sort=A","Dates=H","DateFormat=P","Fill=—","Direction=H","UseDPDF=Y")</f>
        <v>436</v>
      </c>
      <c r="AP7" s="13">
        <f>_xll.BDH("AMZN US Equity","IS_SH_FOR_DILUTED_EPS","FQ4 2008","FQ4 2008","Currency=USD","Period=FQ","BEST_FPERIOD_OVERRIDE=FQ","FILING_STATUS=OR","Sort=A","Dates=H","DateFormat=P","Fill=—","Direction=H","UseDPDF=Y")</f>
        <v>436</v>
      </c>
    </row>
    <row r="8" spans="1:42" x14ac:dyDescent="0.25">
      <c r="A8" s="10" t="s">
        <v>135</v>
      </c>
      <c r="B8" s="10" t="s">
        <v>136</v>
      </c>
      <c r="C8" s="13">
        <f>_xll.BDH("AMZN US Equity","IS_AVG_NUM_SH_FOR_EPS","FQ4 1998","FQ4 1998","Currency=USD","Period=FQ","BEST_FPERIOD_OVERRIDE=FQ","FILING_STATUS=OR","Sort=A","Dates=H","DateFormat=P","Fill=—","Direction=H","UseDPDF=Y")</f>
        <v>308.77800000000002</v>
      </c>
      <c r="D8" s="13">
        <f>_xll.BDH("AMZN US Equity","IS_AVG_NUM_SH_FOR_EPS","FQ1 1999","FQ1 1999","Currency=USD","Period=FQ","BEST_FPERIOD_OVERRIDE=FQ","FILING_STATUS=OR","Sort=A","Dates=H","DateFormat=P","Fill=—","Direction=H","UseDPDF=Y")</f>
        <v>313.79399999999998</v>
      </c>
      <c r="E8" s="13">
        <f>_xll.BDH("AMZN US Equity","IS_AVG_NUM_SH_FOR_EPS","FQ2 1999","FQ2 1999","Currency=USD","Period=FQ","BEST_FPERIOD_OVERRIDE=FQ","FILING_STATUS=OR","Sort=A","Dates=H","DateFormat=P","Fill=—","Direction=H","UseDPDF=Y")</f>
        <v>322.33999999999997</v>
      </c>
      <c r="F8" s="13">
        <f>_xll.BDH("AMZN US Equity","IS_AVG_NUM_SH_FOR_EPS","FQ3 1999","FQ3 1999","Currency=USD","Period=FQ","BEST_FPERIOD_OVERRIDE=FQ","FILING_STATUS=OR","Sort=A","Dates=H","DateFormat=P","Fill=—","Direction=H","UseDPDF=Y")</f>
        <v>332.488</v>
      </c>
      <c r="G8" s="13">
        <f>_xll.BDH("AMZN US Equity","IS_AVG_NUM_SH_FOR_EPS","FQ4 1999","FQ4 1999","Currency=USD","Period=FQ","BEST_FPERIOD_OVERRIDE=FQ","FILING_STATUS=OR","Sort=A","Dates=H","DateFormat=P","Fill=—","Direction=H","UseDPDF=Y")</f>
        <v>338.38900000000001</v>
      </c>
      <c r="H8" s="13">
        <f>_xll.BDH("AMZN US Equity","IS_AVG_NUM_SH_FOR_EPS","FQ1 2000","FQ1 2000","Currency=USD","Period=FQ","BEST_FPERIOD_OVERRIDE=FQ","FILING_STATUS=OR","Sort=A","Dates=H","DateFormat=P","Fill=—","Direction=H","UseDPDF=Y")</f>
        <v>343.88400000000001</v>
      </c>
      <c r="I8" s="13">
        <f>_xll.BDH("AMZN US Equity","IS_AVG_NUM_SH_FOR_EPS","FQ3 2000","FQ3 2000","Currency=USD","Period=FQ","BEST_FPERIOD_OVERRIDE=FQ","FILING_STATUS=OR","Sort=A","Dates=H","DateFormat=P","Fill=—","Direction=H","UseDPDF=Y")</f>
        <v>353.95400000000001</v>
      </c>
      <c r="J8" s="13">
        <f>_xll.BDH("AMZN US Equity","IS_AVG_NUM_SH_FOR_EPS","FQ4 2000","FQ4 2000","Currency=USD","Period=FQ","BEST_FPERIOD_OVERRIDE=FQ","FILING_STATUS=OR","Sort=A","Dates=H","DateFormat=P","Fill=—","Direction=H","UseDPDF=Y")</f>
        <v>355.68099999999998</v>
      </c>
      <c r="K8" s="13">
        <f>_xll.BDH("AMZN US Equity","IS_AVG_NUM_SH_FOR_EPS","FQ1 2001","FQ1 2001","Currency=USD","Period=FQ","BEST_FPERIOD_OVERRIDE=FQ","FILING_STATUS=OR","Sort=A","Dates=H","DateFormat=P","Fill=—","Direction=H","UseDPDF=Y")</f>
        <v>357.42399999999998</v>
      </c>
      <c r="L8" s="13">
        <f>_xll.BDH("AMZN US Equity","IS_AVG_NUM_SH_FOR_EPS","FQ2 2001","FQ2 2001","Currency=USD","Period=FQ","BEST_FPERIOD_OVERRIDE=FQ","FILING_STATUS=OR","Sort=A","Dates=H","DateFormat=P","Fill=—","Direction=H","UseDPDF=Y")</f>
        <v>359.75200000000001</v>
      </c>
      <c r="M8" s="13">
        <f>_xll.BDH("AMZN US Equity","IS_AVG_NUM_SH_FOR_EPS","FQ3 2001","FQ3 2001","Currency=USD","Period=FQ","BEST_FPERIOD_OVERRIDE=FQ","FILING_STATUS=OR","Sort=A","Dates=H","DateFormat=P","Fill=—","Direction=H","UseDPDF=Y")</f>
        <v>368.05200000000002</v>
      </c>
      <c r="N8" s="13">
        <f>_xll.BDH("AMZN US Equity","IS_AVG_NUM_SH_FOR_EPS","FQ4 2001","FQ4 2001","Currency=USD","Period=FQ","BEST_FPERIOD_OVERRIDE=FQ","FILING_STATUS=OR","Sort=A","Dates=H","DateFormat=P","Fill=—","Direction=H","UseDPDF=Y")</f>
        <v>371.42</v>
      </c>
      <c r="O8" s="13">
        <f>_xll.BDH("AMZN US Equity","IS_AVG_NUM_SH_FOR_EPS","FQ1 2002","FQ1 2002","Currency=USD","Period=FQ","BEST_FPERIOD_OVERRIDE=FQ","FILING_STATUS=OR","Sort=A","Dates=H","DateFormat=P","Fill=—","Direction=H","UseDPDF=Y")</f>
        <v>373.03100000000001</v>
      </c>
      <c r="P8" s="13">
        <f>_xll.BDH("AMZN US Equity","IS_AVG_NUM_SH_FOR_EPS","FQ2 2002","FQ2 2002","Currency=USD","Period=FQ","BEST_FPERIOD_OVERRIDE=FQ","FILING_STATUS=OR","Sort=A","Dates=H","DateFormat=P","Fill=—","Direction=H","UseDPDF=Y")</f>
        <v>376.93700000000001</v>
      </c>
      <c r="Q8" s="13">
        <f>_xll.BDH("AMZN US Equity","IS_AVG_NUM_SH_FOR_EPS","FQ3 2002","FQ3 2002","Currency=USD","Period=FQ","BEST_FPERIOD_OVERRIDE=FQ","FILING_STATUS=OR","Sort=A","Dates=H","DateFormat=P","Fill=—","Direction=H","UseDPDF=Y")</f>
        <v>379.65</v>
      </c>
      <c r="R8" s="13">
        <f>_xll.BDH("AMZN US Equity","IS_AVG_NUM_SH_FOR_EPS","FQ4 2002","FQ4 2002","Currency=USD","Period=FQ","BEST_FPERIOD_OVERRIDE=FQ","FILING_STATUS=OR","Sort=A","Dates=H","DateFormat=P","Fill=—","Direction=H","UseDPDF=Y")</f>
        <v>383.702</v>
      </c>
      <c r="S8" s="13">
        <f>_xll.BDH("AMZN US Equity","IS_AVG_NUM_SH_FOR_EPS","FQ1 2003","FQ1 2003","Currency=USD","Period=FQ","BEST_FPERIOD_OVERRIDE=FQ","FILING_STATUS=OR","Sort=A","Dates=H","DateFormat=P","Fill=—","Direction=H","UseDPDF=Y")</f>
        <v>388.541</v>
      </c>
      <c r="T8" s="13">
        <f>_xll.BDH("AMZN US Equity","IS_AVG_NUM_SH_FOR_EPS","FQ2 2003","FQ2 2003","Currency=USD","Period=FQ","BEST_FPERIOD_OVERRIDE=FQ","FILING_STATUS=OR","Sort=A","Dates=H","DateFormat=P","Fill=—","Direction=H","UseDPDF=Y")</f>
        <v>393.87599999999998</v>
      </c>
      <c r="U8" s="13">
        <f>_xll.BDH("AMZN US Equity","IS_AVG_NUM_SH_FOR_EPS","FQ3 2003","FQ3 2003","Currency=USD","Period=FQ","BEST_FPERIOD_OVERRIDE=FQ","FILING_STATUS=OR","Sort=A","Dates=H","DateFormat=P","Fill=—","Direction=H","UseDPDF=Y")</f>
        <v>397.91199999999998</v>
      </c>
      <c r="V8" s="13">
        <f>_xll.BDH("AMZN US Equity","IS_AVG_NUM_SH_FOR_EPS","FQ4 2003","FQ4 2003","Currency=USD","Period=FQ","BEST_FPERIOD_OVERRIDE=FQ","FILING_STATUS=OR","Sort=A","Dates=H","DateFormat=P","Fill=—","Direction=H","UseDPDF=Y")</f>
        <v>401.42200000000003</v>
      </c>
      <c r="W8" s="13">
        <f>_xll.BDH("AMZN US Equity","IS_AVG_NUM_SH_FOR_EPS","FQ1 2004","FQ1 2004","Currency=USD","Period=FQ","BEST_FPERIOD_OVERRIDE=FQ","FILING_STATUS=OR","Sort=A","Dates=H","DateFormat=P","Fill=—","Direction=H","UseDPDF=Y")</f>
        <v>403.54199999999997</v>
      </c>
      <c r="X8" s="13">
        <f>_xll.BDH("AMZN US Equity","IS_AVG_NUM_SH_FOR_EPS","FQ2 2004","FQ2 2004","Currency=USD","Period=FQ","BEST_FPERIOD_OVERRIDE=FQ","FILING_STATUS=OR","Sort=A","Dates=H","DateFormat=P","Fill=—","Direction=H","UseDPDF=Y")</f>
        <v>405.26799999999997</v>
      </c>
      <c r="Y8" s="13">
        <f>_xll.BDH("AMZN US Equity","IS_AVG_NUM_SH_FOR_EPS","FQ3 2004","FQ3 2004","Currency=USD","Period=FQ","BEST_FPERIOD_OVERRIDE=FQ","FILING_STATUS=OR","Sort=A","Dates=H","DateFormat=P","Fill=—","Direction=H","UseDPDF=Y")</f>
        <v>406.64699999999999</v>
      </c>
      <c r="Z8" s="13">
        <f>_xll.BDH("AMZN US Equity","IS_AVG_NUM_SH_FOR_EPS","FQ4 2004","FQ4 2004","Currency=USD","Period=FQ","BEST_FPERIOD_OVERRIDE=FQ","FILING_STATUS=OR","Sort=A","Dates=H","DateFormat=P","Fill=—","Direction=H","UseDPDF=Y")</f>
        <v>408.22699999999998</v>
      </c>
      <c r="AA8" s="13">
        <f>_xll.BDH("AMZN US Equity","IS_AVG_NUM_SH_FOR_EPS","FQ1 2005","FQ1 2005","Currency=USD","Period=FQ","BEST_FPERIOD_OVERRIDE=FQ","FILING_STATUS=OR","Sort=A","Dates=H","DateFormat=P","Fill=—","Direction=H","UseDPDF=Y")</f>
        <v>410</v>
      </c>
      <c r="AB8" s="13">
        <f>_xll.BDH("AMZN US Equity","IS_AVG_NUM_SH_FOR_EPS","FQ2 2005","FQ2 2005","Currency=USD","Period=FQ","BEST_FPERIOD_OVERRIDE=FQ","FILING_STATUS=OR","Sort=A","Dates=H","DateFormat=P","Fill=—","Direction=H","UseDPDF=Y")</f>
        <v>411</v>
      </c>
      <c r="AC8" s="13">
        <f>_xll.BDH("AMZN US Equity","IS_AVG_NUM_SH_FOR_EPS","FQ3 2005","FQ3 2005","Currency=USD","Period=FQ","BEST_FPERIOD_OVERRIDE=FQ","FILING_STATUS=OR","Sort=A","Dates=H","DateFormat=P","Fill=—","Direction=H","UseDPDF=Y")</f>
        <v>413</v>
      </c>
      <c r="AD8" s="13">
        <f>_xll.BDH("AMZN US Equity","IS_AVG_NUM_SH_FOR_EPS","FQ4 2005","FQ4 2005","Currency=USD","Period=FQ","BEST_FPERIOD_OVERRIDE=FQ","FILING_STATUS=OR","Sort=A","Dates=H","DateFormat=P","Fill=—","Direction=H","UseDPDF=Y")</f>
        <v>415</v>
      </c>
      <c r="AE8" s="13">
        <f>_xll.BDH("AMZN US Equity","IS_AVG_NUM_SH_FOR_EPS","FQ1 2006","FQ1 2006","Currency=USD","Period=FQ","BEST_FPERIOD_OVERRIDE=FQ","FILING_STATUS=OR","Sort=A","Dates=H","DateFormat=P","Fill=—","Direction=H","UseDPDF=Y")</f>
        <v>417</v>
      </c>
      <c r="AF8" s="13">
        <f>_xll.BDH("AMZN US Equity","IS_AVG_NUM_SH_FOR_EPS","FQ2 2006","FQ2 2006","Currency=USD","Period=FQ","BEST_FPERIOD_OVERRIDE=FQ","FILING_STATUS=OR","Sort=A","Dates=H","DateFormat=P","Fill=—","Direction=H","UseDPDF=Y")</f>
        <v>418</v>
      </c>
      <c r="AG8" s="13">
        <f>_xll.BDH("AMZN US Equity","IS_AVG_NUM_SH_FOR_EPS","FQ3 2006","FQ3 2006","Currency=USD","Period=FQ","BEST_FPERIOD_OVERRIDE=FQ","FILING_STATUS=OR","Sort=A","Dates=H","DateFormat=P","Fill=—","Direction=H","UseDPDF=Y")</f>
        <v>417</v>
      </c>
      <c r="AH8" s="13">
        <f>_xll.BDH("AMZN US Equity","IS_AVG_NUM_SH_FOR_EPS","FQ4 2006","FQ4 2006","Currency=USD","Period=FQ","BEST_FPERIOD_OVERRIDE=FQ","FILING_STATUS=OR","Sort=A","Dates=H","DateFormat=P","Fill=—","Direction=H","UseDPDF=Y")</f>
        <v>416</v>
      </c>
      <c r="AI8" s="13">
        <f>_xll.BDH("AMZN US Equity","IS_AVG_NUM_SH_FOR_EPS","FQ1 2007","FQ1 2007","Currency=USD","Period=FQ","BEST_FPERIOD_OVERRIDE=FQ","FILING_STATUS=OR","Sort=A","Dates=H","DateFormat=P","Fill=—","Direction=H","UseDPDF=Y")</f>
        <v>412</v>
      </c>
      <c r="AJ8" s="13">
        <f>_xll.BDH("AMZN US Equity","IS_AVG_NUM_SH_FOR_EPS","FQ2 2007","FQ2 2007","Currency=USD","Period=FQ","BEST_FPERIOD_OVERRIDE=FQ","FILING_STATUS=OR","Sort=A","Dates=H","DateFormat=P","Fill=—","Direction=H","UseDPDF=Y")</f>
        <v>412</v>
      </c>
      <c r="AK8" s="13">
        <f>_xll.BDH("AMZN US Equity","IS_AVG_NUM_SH_FOR_EPS","FQ3 2007","FQ3 2007","Currency=USD","Period=FQ","BEST_FPERIOD_OVERRIDE=FQ","FILING_STATUS=OR","Sort=A","Dates=H","DateFormat=P","Fill=—","Direction=H","UseDPDF=Y")</f>
        <v>414</v>
      </c>
      <c r="AL8" s="13">
        <f>_xll.BDH("AMZN US Equity","IS_AVG_NUM_SH_FOR_EPS","FQ4 2007","FQ4 2007","Currency=USD","Period=FQ","BEST_FPERIOD_OVERRIDE=FQ","FILING_STATUS=OR","Sort=A","Dates=H","DateFormat=P","Fill=—","Direction=H","UseDPDF=Y")</f>
        <v>416</v>
      </c>
      <c r="AM8" s="13">
        <f>_xll.BDH("AMZN US Equity","IS_AVG_NUM_SH_FOR_EPS","FQ1 2008","FQ1 2008","Currency=USD","Period=FQ","BEST_FPERIOD_OVERRIDE=FQ","FILING_STATUS=OR","Sort=A","Dates=H","DateFormat=P","Fill=—","Direction=H","UseDPDF=Y")</f>
        <v>417</v>
      </c>
      <c r="AN8" s="13">
        <f>_xll.BDH("AMZN US Equity","IS_AVG_NUM_SH_FOR_EPS","FQ2 2008","FQ2 2008","Currency=USD","Period=FQ","BEST_FPERIOD_OVERRIDE=FQ","FILING_STATUS=OR","Sort=A","Dates=H","DateFormat=P","Fill=—","Direction=H","UseDPDF=Y")</f>
        <v>420</v>
      </c>
      <c r="AO8" s="13">
        <f>_xll.BDH("AMZN US Equity","IS_AVG_NUM_SH_FOR_EPS","FQ3 2008","FQ3 2008","Currency=USD","Period=FQ","BEST_FPERIOD_OVERRIDE=FQ","FILING_STATUS=OR","Sort=A","Dates=H","DateFormat=P","Fill=—","Direction=H","UseDPDF=Y")</f>
        <v>427</v>
      </c>
      <c r="AP8" s="13">
        <f>_xll.BDH("AMZN US Equity","IS_AVG_NUM_SH_FOR_EPS","FQ4 2008","FQ4 2008","Currency=USD","Period=FQ","BEST_FPERIOD_OVERRIDE=FQ","FILING_STATUS=OR","Sort=A","Dates=H","DateFormat=P","Fill=—","Direction=H","UseDPDF=Y")</f>
        <v>428</v>
      </c>
    </row>
    <row r="9" spans="1:42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6" t="s">
        <v>377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x14ac:dyDescent="0.25">
      <c r="A11" s="10" t="s">
        <v>0</v>
      </c>
      <c r="B11" s="10" t="s">
        <v>378</v>
      </c>
      <c r="C11" s="14">
        <f>_xll.BDH("AMZN US Equity","REVENUE_PER_SH","FQ4 1998","FQ4 1998","Currency=USD","Period=FQ","BEST_FPERIOD_OVERRIDE=FQ","FILING_STATUS=OR","FA_ADJUSTED=GAAP","Sort=A","Dates=H","DateFormat=P","Fill=—","Direction=H","UseDPDF=Y")</f>
        <v>0.81859999999999999</v>
      </c>
      <c r="D11" s="14">
        <f>_xll.BDH("AMZN US Equity","REVENUE_PER_SH","FQ1 1999","FQ1 1999","Currency=USD","Period=FQ","BEST_FPERIOD_OVERRIDE=FQ","FILING_STATUS=OR","FA_ADJUSTED=GAAP","Sort=A","Dates=H","DateFormat=P","Fill=—","Direction=H","UseDPDF=Y")</f>
        <v>0.93579999999999997</v>
      </c>
      <c r="E11" s="14">
        <f>_xll.BDH("AMZN US Equity","REVENUE_PER_SH","FQ2 1999","FQ2 1999","Currency=USD","Period=FQ","BEST_FPERIOD_OVERRIDE=FQ","FILING_STATUS=OR","FA_ADJUSTED=GAAP","Sort=A","Dates=H","DateFormat=P","Fill=—","Direction=H","UseDPDF=Y")</f>
        <v>0.97529999999999994</v>
      </c>
      <c r="F11" s="14">
        <f>_xll.BDH("AMZN US Equity","REVENUE_PER_SH","FQ3 1999","FQ3 1999","Currency=USD","Period=FQ","BEST_FPERIOD_OVERRIDE=FQ","FILING_STATUS=OR","FA_ADJUSTED=GAAP","Sort=A","Dates=H","DateFormat=P","Fill=—","Direction=H","UseDPDF=Y")</f>
        <v>1.07</v>
      </c>
      <c r="G11" s="14">
        <f>_xll.BDH("AMZN US Equity","REVENUE_PER_SH","FQ4 1999","FQ4 1999","Currency=USD","Period=FQ","BEST_FPERIOD_OVERRIDE=FQ","FILING_STATUS=OR","FA_ADJUSTED=GAAP","Sort=A","Dates=H","DateFormat=P","Fill=—","Direction=H","UseDPDF=Y")</f>
        <v>1.9978</v>
      </c>
      <c r="H11" s="14">
        <f>_xll.BDH("AMZN US Equity","REVENUE_PER_SH","FQ1 2000","FQ1 2000","Currency=USD","Period=FQ","BEST_FPERIOD_OVERRIDE=FQ","FILING_STATUS=OR","FA_ADJUSTED=GAAP","Sort=A","Dates=H","DateFormat=P","Fill=—","Direction=H","UseDPDF=Y")</f>
        <v>1.6688000000000001</v>
      </c>
      <c r="I11" s="14">
        <f>_xll.BDH("AMZN US Equity","REVENUE_PER_SH","FQ3 2000","FQ3 2000","Currency=USD","Period=FQ","BEST_FPERIOD_OVERRIDE=FQ","FILING_STATUS=OR","FA_ADJUSTED=GAAP","Sort=A","Dates=H","DateFormat=P","Fill=—","Direction=H","UseDPDF=Y")</f>
        <v>1.8021</v>
      </c>
      <c r="J11" s="14">
        <f>_xll.BDH("AMZN US Equity","REVENUE_PER_SH","FQ4 2000","FQ4 2000","Currency=USD","Period=FQ","BEST_FPERIOD_OVERRIDE=FQ","FILING_STATUS=OR","FA_ADJUSTED=GAAP","Sort=A","Dates=H","DateFormat=P","Fill=—","Direction=H","UseDPDF=Y")</f>
        <v>2.7338</v>
      </c>
      <c r="K11" s="14">
        <f>_xll.BDH("AMZN US Equity","REVENUE_PER_SH","FQ1 2001","FQ1 2001","Currency=USD","Period=FQ","BEST_FPERIOD_OVERRIDE=FQ","FILING_STATUS=OR","FA_ADJUSTED=GAAP","Sort=A","Dates=H","DateFormat=P","Fill=—","Direction=H","UseDPDF=Y")</f>
        <v>1.9595</v>
      </c>
      <c r="L11" s="14">
        <f>_xll.BDH("AMZN US Equity","REVENUE_PER_SH","FQ2 2001","FQ2 2001","Currency=USD","Period=FQ","BEST_FPERIOD_OVERRIDE=FQ","FILING_STATUS=OR","FA_ADJUSTED=GAAP","Sort=A","Dates=H","DateFormat=P","Fill=—","Direction=H","UseDPDF=Y")</f>
        <v>1.8557999999999999</v>
      </c>
      <c r="M11" s="14">
        <f>_xll.BDH("AMZN US Equity","REVENUE_PER_SH","FQ3 2001","FQ3 2001","Currency=USD","Period=FQ","BEST_FPERIOD_OVERRIDE=FQ","FILING_STATUS=OR","FA_ADJUSTED=GAAP","Sort=A","Dates=H","DateFormat=P","Fill=—","Direction=H","UseDPDF=Y")</f>
        <v>1.7368999999999999</v>
      </c>
      <c r="N11" s="14">
        <f>_xll.BDH("AMZN US Equity","REVENUE_PER_SH","FQ4 2001","FQ4 2001","Currency=USD","Period=FQ","BEST_FPERIOD_OVERRIDE=FQ","FILING_STATUS=OR","FA_ADJUSTED=GAAP","Sort=A","Dates=H","DateFormat=P","Fill=—","Direction=H","UseDPDF=Y")</f>
        <v>3.0024999999999999</v>
      </c>
      <c r="O11" s="14">
        <f>_xll.BDH("AMZN US Equity","REVENUE_PER_SH","FQ1 2002","FQ1 2002","Currency=USD","Period=FQ","BEST_FPERIOD_OVERRIDE=FQ","FILING_STATUS=OR","FA_ADJUSTED=GAAP","Sort=A","Dates=H","DateFormat=P","Fill=—","Direction=H","UseDPDF=Y")</f>
        <v>2.2717000000000001</v>
      </c>
      <c r="P11" s="14">
        <f>_xll.BDH("AMZN US Equity","REVENUE_PER_SH","FQ2 2002","FQ2 2002","Currency=USD","Period=FQ","BEST_FPERIOD_OVERRIDE=FQ","FILING_STATUS=OR","FA_ADJUSTED=GAAP","Sort=A","Dates=H","DateFormat=P","Fill=—","Direction=H","UseDPDF=Y")</f>
        <v>2.1372</v>
      </c>
      <c r="Q11" s="14">
        <f>_xll.BDH("AMZN US Equity","REVENUE_PER_SH","FQ3 2002","FQ3 2002","Currency=USD","Period=FQ","BEST_FPERIOD_OVERRIDE=FQ","FILING_STATUS=OR","FA_ADJUSTED=GAAP","Sort=A","Dates=H","DateFormat=P","Fill=—","Direction=H","UseDPDF=Y")</f>
        <v>2.2423000000000002</v>
      </c>
      <c r="R11" s="14">
        <f>_xll.BDH("AMZN US Equity","REVENUE_PER_SH","FQ4 2002","FQ4 2002","Currency=USD","Period=FQ","BEST_FPERIOD_OVERRIDE=FQ","FILING_STATUS=OR","FA_ADJUSTED=GAAP","Sort=A","Dates=H","DateFormat=P","Fill=—","Direction=H","UseDPDF=Y")</f>
        <v>3.7231999999999998</v>
      </c>
      <c r="S11" s="14">
        <f>_xll.BDH("AMZN US Equity","REVENUE_PER_SH","FQ1 2003","FQ1 2003","Currency=USD","Period=FQ","BEST_FPERIOD_OVERRIDE=FQ","FILING_STATUS=OR","FA_ADJUSTED=GAAP","Sort=A","Dates=H","DateFormat=P","Fill=—","Direction=H","UseDPDF=Y")</f>
        <v>2.7888000000000002</v>
      </c>
      <c r="T11" s="14">
        <f>_xll.BDH("AMZN US Equity","REVENUE_PER_SH","FQ2 2003","FQ2 2003","Currency=USD","Period=FQ","BEST_FPERIOD_OVERRIDE=FQ","FILING_STATUS=OR","FA_ADJUSTED=GAAP","Sort=A","Dates=H","DateFormat=P","Fill=—","Direction=H","UseDPDF=Y")</f>
        <v>2.7925</v>
      </c>
      <c r="U11" s="14">
        <f>_xll.BDH("AMZN US Equity","REVENUE_PER_SH","FQ3 2003","FQ3 2003","Currency=USD","Period=FQ","BEST_FPERIOD_OVERRIDE=FQ","FILING_STATUS=OR","FA_ADJUSTED=GAAP","Sort=A","Dates=H","DateFormat=P","Fill=—","Direction=H","UseDPDF=Y")</f>
        <v>2.851</v>
      </c>
      <c r="V11" s="14">
        <f>_xll.BDH("AMZN US Equity","REVENUE_PER_SH","FQ4 2003","FQ4 2003","Currency=USD","Period=FQ","BEST_FPERIOD_OVERRIDE=FQ","FILING_STATUS=OR","FA_ADJUSTED=GAAP","Sort=A","Dates=H","DateFormat=P","Fill=—","Direction=H","UseDPDF=Y")</f>
        <v>4.8472</v>
      </c>
      <c r="W11" s="14">
        <f>_xll.BDH("AMZN US Equity","REVENUE_PER_SH","FQ1 2004","FQ1 2004","Currency=USD","Period=FQ","BEST_FPERIOD_OVERRIDE=FQ","FILING_STATUS=OR","FA_ADJUSTED=GAAP","Sort=A","Dates=H","DateFormat=P","Fill=—","Direction=H","UseDPDF=Y")</f>
        <v>3.7923</v>
      </c>
      <c r="X11" s="14">
        <f>_xll.BDH("AMZN US Equity","REVENUE_PER_SH","FQ2 2004","FQ2 2004","Currency=USD","Period=FQ","BEST_FPERIOD_OVERRIDE=FQ","FILING_STATUS=OR","FA_ADJUSTED=GAAP","Sort=A","Dates=H","DateFormat=P","Fill=—","Direction=H","UseDPDF=Y")</f>
        <v>3.4233000000000002</v>
      </c>
      <c r="Y11" s="14">
        <f>_xll.BDH("AMZN US Equity","REVENUE_PER_SH","FQ3 2004","FQ3 2004","Currency=USD","Period=FQ","BEST_FPERIOD_OVERRIDE=FQ","FILING_STATUS=OR","FA_ADJUSTED=GAAP","Sort=A","Dates=H","DateFormat=P","Fill=—","Direction=H","UseDPDF=Y")</f>
        <v>3.5964</v>
      </c>
      <c r="Z11" s="14">
        <f>_xll.BDH("AMZN US Equity","REVENUE_PER_SH","FQ4 2004","FQ4 2004","Currency=USD","Period=FQ","BEST_FPERIOD_OVERRIDE=FQ","FILING_STATUS=OR","FA_ADJUSTED=GAAP","Sort=A","Dates=H","DateFormat=P","Fill=—","Direction=H","UseDPDF=Y")</f>
        <v>6.2244000000000002</v>
      </c>
      <c r="AA11" s="14">
        <f>_xll.BDH("AMZN US Equity","REVENUE_PER_SH","FQ1 2005","FQ1 2005","Currency=USD","Period=FQ","BEST_FPERIOD_OVERRIDE=FQ","FILING_STATUS=OR","FA_ADJUSTED=GAAP","Sort=A","Dates=H","DateFormat=P","Fill=—","Direction=H","UseDPDF=Y")</f>
        <v>4.6390000000000002</v>
      </c>
      <c r="AB11" s="14">
        <f>_xll.BDH("AMZN US Equity","REVENUE_PER_SH","FQ2 2005","FQ2 2005","Currency=USD","Period=FQ","BEST_FPERIOD_OVERRIDE=FQ","FILING_STATUS=OR","FA_ADJUSTED=GAAP","Sort=A","Dates=H","DateFormat=P","Fill=—","Direction=H","UseDPDF=Y")</f>
        <v>4.2652000000000001</v>
      </c>
      <c r="AC11" s="14">
        <f>_xll.BDH("AMZN US Equity","REVENUE_PER_SH","FQ3 2005","FQ3 2005","Currency=USD","Period=FQ","BEST_FPERIOD_OVERRIDE=FQ","FILING_STATUS=OR","FA_ADJUSTED=GAAP","Sort=A","Dates=H","DateFormat=P","Fill=—","Direction=H","UseDPDF=Y")</f>
        <v>4.4988000000000001</v>
      </c>
      <c r="AD11" s="14">
        <f>_xll.BDH("AMZN US Equity","REVENUE_PER_SH","FQ4 2005","FQ4 2005","Currency=USD","Period=FQ","BEST_FPERIOD_OVERRIDE=FQ","FILING_STATUS=OR","FA_ADJUSTED=GAAP","Sort=A","Dates=H","DateFormat=P","Fill=—","Direction=H","UseDPDF=Y")</f>
        <v>7.1734999999999998</v>
      </c>
      <c r="AE11" s="14">
        <f>_xll.BDH("AMZN US Equity","REVENUE_PER_SH","FQ1 2006","FQ1 2006","Currency=USD","Period=FQ","BEST_FPERIOD_OVERRIDE=FQ","FILING_STATUS=OR","FA_ADJUSTED=GAAP","Sort=A","Dates=H","DateFormat=P","Fill=—","Direction=H","UseDPDF=Y")</f>
        <v>5.4652000000000003</v>
      </c>
      <c r="AF11" s="14">
        <f>_xll.BDH("AMZN US Equity","REVENUE_PER_SH","FQ2 2006","FQ2 2006","Currency=USD","Period=FQ","BEST_FPERIOD_OVERRIDE=FQ","FILING_STATUS=OR","FA_ADJUSTED=GAAP","Sort=A","Dates=H","DateFormat=P","Fill=—","Direction=H","UseDPDF=Y")</f>
        <v>5.1172000000000004</v>
      </c>
      <c r="AG11" s="14">
        <f>_xll.BDH("AMZN US Equity","REVENUE_PER_SH","FQ3 2006","FQ3 2006","Currency=USD","Period=FQ","BEST_FPERIOD_OVERRIDE=FQ","FILING_STATUS=OR","FA_ADJUSTED=GAAP","Sort=A","Dates=H","DateFormat=P","Fill=—","Direction=H","UseDPDF=Y")</f>
        <v>5.5324</v>
      </c>
      <c r="AH11" s="14">
        <f>_xll.BDH("AMZN US Equity","REVENUE_PER_SH","FQ4 2006","FQ4 2006","Currency=USD","Period=FQ","BEST_FPERIOD_OVERRIDE=FQ","FILING_STATUS=OR","FA_ADJUSTED=GAAP","Sort=A","Dates=H","DateFormat=P","Fill=—","Direction=H","UseDPDF=Y")</f>
        <v>9.5816999999999997</v>
      </c>
      <c r="AI11" s="14">
        <f>_xll.BDH("AMZN US Equity","REVENUE_PER_SH","FQ1 2007","FQ1 2007","Currency=USD","Period=FQ","BEST_FPERIOD_OVERRIDE=FQ","FILING_STATUS=OR","FA_ADJUSTED=GAAP","Sort=A","Dates=H","DateFormat=P","Fill=—","Direction=H","UseDPDF=Y")</f>
        <v>7.3179999999999996</v>
      </c>
      <c r="AJ11" s="14">
        <f>_xll.BDH("AMZN US Equity","REVENUE_PER_SH","FQ2 2007","FQ2 2007","Currency=USD","Period=FQ","BEST_FPERIOD_OVERRIDE=FQ","FILING_STATUS=OR","FA_ADJUSTED=GAAP","Sort=A","Dates=H","DateFormat=P","Fill=—","Direction=H","UseDPDF=Y")</f>
        <v>7.0049000000000001</v>
      </c>
      <c r="AK11" s="14">
        <f>_xll.BDH("AMZN US Equity","REVENUE_PER_SH","FQ3 2007","FQ3 2007","Currency=USD","Period=FQ","BEST_FPERIOD_OVERRIDE=FQ","FILING_STATUS=OR","FA_ADJUSTED=GAAP","Sort=A","Dates=H","DateFormat=P","Fill=—","Direction=H","UseDPDF=Y")</f>
        <v>7.8792</v>
      </c>
      <c r="AL11" s="14">
        <f>_xll.BDH("AMZN US Equity","REVENUE_PER_SH","FQ4 2007","FQ4 2007","Currency=USD","Period=FQ","BEST_FPERIOD_OVERRIDE=FQ","FILING_STATUS=OR","FA_ADJUSTED=GAAP","Sort=A","Dates=H","DateFormat=P","Fill=—","Direction=H","UseDPDF=Y")</f>
        <v>13.637</v>
      </c>
      <c r="AM11" s="14">
        <f>_xll.BDH("AMZN US Equity","REVENUE_PER_SH","FQ1 2008","FQ1 2008","Currency=USD","Period=FQ","BEST_FPERIOD_OVERRIDE=FQ","FILING_STATUS=OR","FA_ADJUSTED=GAAP","Sort=A","Dates=H","DateFormat=P","Fill=—","Direction=H","UseDPDF=Y")</f>
        <v>9.9161000000000001</v>
      </c>
      <c r="AN11" s="14">
        <f>_xll.BDH("AMZN US Equity","REVENUE_PER_SH","FQ2 2008","FQ2 2008","Currency=USD","Period=FQ","BEST_FPERIOD_OVERRIDE=FQ","FILING_STATUS=OR","FA_ADJUSTED=GAAP","Sort=A","Dates=H","DateFormat=P","Fill=—","Direction=H","UseDPDF=Y")</f>
        <v>9.6738</v>
      </c>
      <c r="AO11" s="14">
        <f>_xll.BDH("AMZN US Equity","REVENUE_PER_SH","FQ3 2008","FQ3 2008","Currency=USD","Period=FQ","BEST_FPERIOD_OVERRIDE=FQ","FILING_STATUS=OR","FA_ADJUSTED=GAAP","Sort=A","Dates=H","DateFormat=P","Fill=—","Direction=H","UseDPDF=Y")</f>
        <v>9.9859000000000009</v>
      </c>
      <c r="AP11" s="14">
        <f>_xll.BDH("AMZN US Equity","REVENUE_PER_SH","FQ4 2008","FQ4 2008","Currency=USD","Period=FQ","BEST_FPERIOD_OVERRIDE=FQ","FILING_STATUS=OR","FA_ADJUSTED=GAAP","Sort=A","Dates=H","DateFormat=P","Fill=—","Direction=H","UseDPDF=Y")</f>
        <v>15.663600000000001</v>
      </c>
    </row>
    <row r="12" spans="1:42" x14ac:dyDescent="0.25">
      <c r="A12" s="10" t="s">
        <v>154</v>
      </c>
      <c r="B12" s="10" t="s">
        <v>379</v>
      </c>
      <c r="C12" s="14">
        <f>_xll.BDH("AMZN US Equity","EBITDA_PER_SH","FQ4 1998","FQ4 1998","Currency=USD","Period=FQ","BEST_FPERIOD_OVERRIDE=FQ","FILING_STATUS=OR","FA_ADJUSTED=GAAP","Sort=A","Dates=H","DateFormat=P","Fill=—","Direction=H","UseDPDF=Y")</f>
        <v>-3.4500000000000003E-2</v>
      </c>
      <c r="D12" s="14">
        <f>_xll.BDH("AMZN US Equity","EBITDA_PER_SH","FQ1 1999","FQ1 1999","Currency=USD","Period=FQ","BEST_FPERIOD_OVERRIDE=FQ","FILING_STATUS=OR","FA_ADJUSTED=GAAP","Sort=A","Dates=H","DateFormat=P","Fill=—","Direction=H","UseDPDF=Y")</f>
        <v>-0.1477</v>
      </c>
      <c r="E12" s="14">
        <f>_xll.BDH("AMZN US Equity","EBITDA_PER_SH","FQ2 1999","FQ2 1999","Currency=USD","Period=FQ","BEST_FPERIOD_OVERRIDE=FQ","FILING_STATUS=OR","FA_ADJUSTED=GAAP","Sort=A","Dates=H","DateFormat=P","Fill=—","Direction=H","UseDPDF=Y")</f>
        <v>-0.31319999999999998</v>
      </c>
      <c r="F12" s="14">
        <f>_xll.BDH("AMZN US Equity","EBITDA_PER_SH","FQ3 1999","FQ3 1999","Currency=USD","Period=FQ","BEST_FPERIOD_OVERRIDE=FQ","FILING_STATUS=OR","FA_ADJUSTED=GAAP","Sort=A","Dates=H","DateFormat=P","Fill=—","Direction=H","UseDPDF=Y")</f>
        <v>-0.20930000000000001</v>
      </c>
      <c r="G12" s="14">
        <f>_xll.BDH("AMZN US Equity","EBITDA_PER_SH","FQ4 1999","FQ4 1999","Currency=USD","Period=FQ","BEST_FPERIOD_OVERRIDE=FQ","FILING_STATUS=OR","FA_ADJUSTED=GAAP","Sort=A","Dates=H","DateFormat=P","Fill=—","Direction=H","UseDPDF=Y")</f>
        <v>0.26850000000000002</v>
      </c>
      <c r="H12" s="14">
        <f>_xll.BDH("AMZN US Equity","EBITDA_PER_SH","FQ1 2000","FQ1 2000","Currency=USD","Period=FQ","BEST_FPERIOD_OVERRIDE=FQ","FILING_STATUS=OR","FA_ADJUSTED=GAAP","Sort=A","Dates=H","DateFormat=P","Fill=—","Direction=H","UseDPDF=Y")</f>
        <v>-0.23580000000000001</v>
      </c>
      <c r="I12" s="14">
        <f>_xll.BDH("AMZN US Equity","EBITDA_PER_SH","FQ3 2000","FQ3 2000","Currency=USD","Period=FQ","BEST_FPERIOD_OVERRIDE=FQ","FILING_STATUS=OR","FA_ADJUSTED=GAAP","Sort=A","Dates=H","DateFormat=P","Fill=—","Direction=H","UseDPDF=Y")</f>
        <v>-0.1288</v>
      </c>
      <c r="J12" s="14">
        <f>_xll.BDH("AMZN US Equity","EBITDA_PER_SH","FQ4 2000","FQ4 2000","Currency=USD","Period=FQ","BEST_FPERIOD_OVERRIDE=FQ","FILING_STATUS=OR","FA_ADJUSTED=GAAP","Sort=A","Dates=H","DateFormat=P","Fill=—","Direction=H","UseDPDF=Y")</f>
        <v>-0.17430000000000001</v>
      </c>
      <c r="K12" s="14">
        <f>_xll.BDH("AMZN US Equity","EBITDA_PER_SH","FQ1 2001","FQ1 2001","Currency=USD","Period=FQ","BEST_FPERIOD_OVERRIDE=FQ","FILING_STATUS=OR","FA_ADJUSTED=GAAP","Sort=A","Dates=H","DateFormat=P","Fill=—","Direction=H","UseDPDF=Y")</f>
        <v>-7.9600000000000004E-2</v>
      </c>
      <c r="L12" s="14">
        <f>_xll.BDH("AMZN US Equity","EBITDA_PER_SH","FQ2 2001","FQ2 2001","Currency=USD","Period=FQ","BEST_FPERIOD_OVERRIDE=FQ","FILING_STATUS=OR","FA_ADJUSTED=GAAP","Sort=A","Dates=H","DateFormat=P","Fill=—","Direction=H","UseDPDF=Y")</f>
        <v>-2.6599999999999999E-2</v>
      </c>
      <c r="M12" s="14">
        <f>_xll.BDH("AMZN US Equity","EBITDA_PER_SH","FQ3 2001","FQ3 2001","Currency=USD","Period=FQ","BEST_FPERIOD_OVERRIDE=FQ","FILING_STATUS=OR","FA_ADJUSTED=GAAP","Sort=A","Dates=H","DateFormat=P","Fill=—","Direction=H","UseDPDF=Y")</f>
        <v>-1.2800000000000001E-2</v>
      </c>
      <c r="N12" s="14">
        <f>_xll.BDH("AMZN US Equity","EBITDA_PER_SH","FQ4 2001","FQ4 2001","Currency=USD","Period=FQ","BEST_FPERIOD_OVERRIDE=FQ","FILING_STATUS=OR","FA_ADJUSTED=GAAP","Sort=A","Dates=H","DateFormat=P","Fill=—","Direction=H","UseDPDF=Y")</f>
        <v>0.21640000000000001</v>
      </c>
      <c r="O12" s="14">
        <f>_xll.BDH("AMZN US Equity","EBITDA_PER_SH","FQ1 2002","FQ1 2002","Currency=USD","Period=FQ","BEST_FPERIOD_OVERRIDE=FQ","FILING_STATUS=OR","FA_ADJUSTED=GAAP","Sort=A","Dates=H","DateFormat=P","Fill=—","Direction=H","UseDPDF=Y")</f>
        <v>9.2899999999999996E-2</v>
      </c>
      <c r="P12" s="14">
        <f>_xll.BDH("AMZN US Equity","EBITDA_PER_SH","FQ2 2002","FQ2 2002","Currency=USD","Period=FQ","BEST_FPERIOD_OVERRIDE=FQ","FILING_STATUS=OR","FA_ADJUSTED=GAAP","Sort=A","Dates=H","DateFormat=P","Fill=—","Direction=H","UseDPDF=Y")</f>
        <v>6.3200000000000006E-2</v>
      </c>
      <c r="Q12" s="14">
        <f>_xll.BDH("AMZN US Equity","EBITDA_PER_SH","FQ3 2002","FQ3 2002","Currency=USD","Period=FQ","BEST_FPERIOD_OVERRIDE=FQ","FILING_STATUS=OR","FA_ADJUSTED=GAAP","Sort=A","Dates=H","DateFormat=P","Fill=—","Direction=H","UseDPDF=Y")</f>
        <v>0.12859999999999999</v>
      </c>
      <c r="R12" s="14">
        <f>_xll.BDH("AMZN US Equity","EBITDA_PER_SH","FQ4 2002","FQ4 2002","Currency=USD","Period=FQ","BEST_FPERIOD_OVERRIDE=FQ","FILING_STATUS=OR","FA_ADJUSTED=GAAP","Sort=A","Dates=H","DateFormat=P","Fill=—","Direction=H","UseDPDF=Y")</f>
        <v>0.22450000000000001</v>
      </c>
      <c r="S12" s="14">
        <f>_xll.BDH("AMZN US Equity","EBITDA_PER_SH","FQ1 2003","FQ1 2003","Currency=USD","Period=FQ","BEST_FPERIOD_OVERRIDE=FQ","FILING_STATUS=OR","FA_ADJUSTED=GAAP","Sort=A","Dates=H","DateFormat=P","Fill=—","Direction=H","UseDPDF=Y")</f>
        <v>0.15179999999999999</v>
      </c>
      <c r="T12" s="14">
        <f>_xll.BDH("AMZN US Equity","EBITDA_PER_SH","FQ2 2003","FQ2 2003","Currency=USD","Period=FQ","BEST_FPERIOD_OVERRIDE=FQ","FILING_STATUS=OR","FA_ADJUSTED=GAAP","Sort=A","Dates=H","DateFormat=P","Fill=—","Direction=H","UseDPDF=Y")</f>
        <v>0.15440000000000001</v>
      </c>
      <c r="U12" s="14">
        <f>_xll.BDH("AMZN US Equity","EBITDA_PER_SH","FQ3 2003","FQ3 2003","Currency=USD","Period=FQ","BEST_FPERIOD_OVERRIDE=FQ","FILING_STATUS=OR","FA_ADJUSTED=GAAP","Sort=A","Dates=H","DateFormat=P","Fill=—","Direction=H","UseDPDF=Y")</f>
        <v>0.17660000000000001</v>
      </c>
      <c r="V12" s="14">
        <f>_xll.BDH("AMZN US Equity","EBITDA_PER_SH","FQ4 2003","FQ4 2003","Currency=USD","Period=FQ","BEST_FPERIOD_OVERRIDE=FQ","FILING_STATUS=OR","FA_ADJUSTED=GAAP","Sort=A","Dates=H","DateFormat=P","Fill=—","Direction=H","UseDPDF=Y")</f>
        <v>0.38950000000000001</v>
      </c>
      <c r="W12" s="14">
        <f>_xll.BDH("AMZN US Equity","EBITDA_PER_SH","FQ1 2004","FQ1 2004","Currency=USD","Period=FQ","BEST_FPERIOD_OVERRIDE=FQ","FILING_STATUS=OR","FA_ADJUSTED=GAAP","Sort=A","Dates=H","DateFormat=P","Fill=—","Direction=H","UseDPDF=Y")</f>
        <v>0.3175</v>
      </c>
      <c r="X12" s="14">
        <f>_xll.BDH("AMZN US Equity","EBITDA_PER_SH","FQ2 2004","FQ2 2004","Currency=USD","Period=FQ","BEST_FPERIOD_OVERRIDE=FQ","FILING_STATUS=OR","FA_ADJUSTED=GAAP","Sort=A","Dates=H","DateFormat=P","Fill=—","Direction=H","UseDPDF=Y")</f>
        <v>0.24</v>
      </c>
      <c r="Y12" s="14">
        <f>_xll.BDH("AMZN US Equity","EBITDA_PER_SH","FQ3 2004","FQ3 2004","Currency=USD","Period=FQ","BEST_FPERIOD_OVERRIDE=FQ","FILING_STATUS=OR","FA_ADJUSTED=GAAP","Sort=A","Dates=H","DateFormat=P","Fill=—","Direction=H","UseDPDF=Y")</f>
        <v>0.24679999999999999</v>
      </c>
      <c r="Z12" s="14">
        <f>_xll.BDH("AMZN US Equity","EBITDA_PER_SH","FQ4 2004","FQ4 2004","Currency=USD","Period=FQ","BEST_FPERIOD_OVERRIDE=FQ","FILING_STATUS=OR","FA_ADJUSTED=GAAP","Sort=A","Dates=H","DateFormat=P","Fill=—","Direction=H","UseDPDF=Y")</f>
        <v>0.46650000000000003</v>
      </c>
      <c r="AA12" s="14">
        <f>_xll.BDH("AMZN US Equity","EBITDA_PER_SH","FQ1 2005","FQ1 2005","Currency=USD","Period=FQ","BEST_FPERIOD_OVERRIDE=FQ","FILING_STATUS=OR","FA_ADJUSTED=GAAP","Sort=A","Dates=H","DateFormat=P","Fill=—","Direction=H","UseDPDF=Y")</f>
        <v>0.33169999999999999</v>
      </c>
      <c r="AB12" s="14">
        <f>_xll.BDH("AMZN US Equity","EBITDA_PER_SH","FQ2 2005","FQ2 2005","Currency=USD","Period=FQ","BEST_FPERIOD_OVERRIDE=FQ","FILING_STATUS=OR","FA_ADJUSTED=GAAP","Sort=A","Dates=H","DateFormat=P","Fill=—","Direction=H","UseDPDF=Y")</f>
        <v>0.31630000000000003</v>
      </c>
      <c r="AC12" s="14">
        <f>_xll.BDH("AMZN US Equity","EBITDA_PER_SH","FQ3 2005","FQ3 2005","Currency=USD","Period=FQ","BEST_FPERIOD_OVERRIDE=FQ","FILING_STATUS=OR","FA_ADJUSTED=GAAP","Sort=A","Dates=H","DateFormat=P","Fill=—","Direction=H","UseDPDF=Y")</f>
        <v>0.20580000000000001</v>
      </c>
      <c r="AD12" s="14">
        <f>_xll.BDH("AMZN US Equity","EBITDA_PER_SH","FQ4 2005","FQ4 2005","Currency=USD","Period=FQ","BEST_FPERIOD_OVERRIDE=FQ","FILING_STATUS=OR","FA_ADJUSTED=GAAP","Sort=A","Dates=H","DateFormat=P","Fill=—","Direction=H","UseDPDF=Y")</f>
        <v>0.48670000000000002</v>
      </c>
      <c r="AE12" s="14">
        <f>_xll.BDH("AMZN US Equity","EBITDA_PER_SH","FQ1 2006","FQ1 2006","Currency=USD","Period=FQ","BEST_FPERIOD_OVERRIDE=FQ","FILING_STATUS=OR","FA_ADJUSTED=GAAP","Sort=A","Dates=H","DateFormat=P","Fill=—","Direction=H","UseDPDF=Y")</f>
        <v>0.35010000000000002</v>
      </c>
      <c r="AF12" s="14">
        <f>_xll.BDH("AMZN US Equity","EBITDA_PER_SH","FQ2 2006","FQ2 2006","Currency=USD","Period=FQ","BEST_FPERIOD_OVERRIDE=FQ","FILING_STATUS=OR","FA_ADJUSTED=GAAP","Sort=A","Dates=H","DateFormat=P","Fill=—","Direction=H","UseDPDF=Y")</f>
        <v>0.21529999999999999</v>
      </c>
      <c r="AG12" s="14">
        <f>_xll.BDH("AMZN US Equity","EBITDA_PER_SH","FQ3 2006","FQ3 2006","Currency=USD","Period=FQ","BEST_FPERIOD_OVERRIDE=FQ","FILING_STATUS=OR","FA_ADJUSTED=GAAP","Sort=A","Dates=H","DateFormat=P","Fill=—","Direction=H","UseDPDF=Y")</f>
        <v>0.247</v>
      </c>
      <c r="AH12" s="14">
        <f>_xll.BDH("AMZN US Equity","EBITDA_PER_SH","FQ4 2006","FQ4 2006","Currency=USD","Period=FQ","BEST_FPERIOD_OVERRIDE=FQ","FILING_STATUS=OR","FA_ADJUSTED=GAAP","Sort=A","Dates=H","DateFormat=P","Fill=—","Direction=H","UseDPDF=Y")</f>
        <v>0.61299999999999999</v>
      </c>
      <c r="AI12" s="14">
        <f>_xll.BDH("AMZN US Equity","EBITDA_PER_SH","FQ1 2007","FQ1 2007","Currency=USD","Period=FQ","BEST_FPERIOD_OVERRIDE=FQ","FILING_STATUS=OR","FA_ADJUSTED=GAAP","Sort=A","Dates=H","DateFormat=P","Fill=—","Direction=H","UseDPDF=Y")</f>
        <v>0.50239999999999996</v>
      </c>
      <c r="AJ12" s="14">
        <f>_xll.BDH("AMZN US Equity","EBITDA_PER_SH","FQ2 2007","FQ2 2007","Currency=USD","Period=FQ","BEST_FPERIOD_OVERRIDE=FQ","FILING_STATUS=OR","FA_ADJUSTED=GAAP","Sort=A","Dates=H","DateFormat=P","Fill=—","Direction=H","UseDPDF=Y")</f>
        <v>0.42720000000000002</v>
      </c>
      <c r="AK12" s="14">
        <f>_xll.BDH("AMZN US Equity","EBITDA_PER_SH","FQ3 2007","FQ3 2007","Currency=USD","Period=FQ","BEST_FPERIOD_OVERRIDE=FQ","FILING_STATUS=OR","FA_ADJUSTED=GAAP","Sort=A","Dates=H","DateFormat=P","Fill=—","Direction=H","UseDPDF=Y")</f>
        <v>0.44440000000000002</v>
      </c>
      <c r="AL12" s="14">
        <f>_xll.BDH("AMZN US Equity","EBITDA_PER_SH","FQ4 2007","FQ4 2007","Currency=USD","Period=FQ","BEST_FPERIOD_OVERRIDE=FQ","FILING_STATUS=OR","FA_ADJUSTED=GAAP","Sort=A","Dates=H","DateFormat=P","Fill=—","Direction=H","UseDPDF=Y")</f>
        <v>0.80289999999999995</v>
      </c>
      <c r="AM12" s="14">
        <f>_xll.BDH("AMZN US Equity","EBITDA_PER_SH","FQ1 2008","FQ1 2008","Currency=USD","Period=FQ","BEST_FPERIOD_OVERRIDE=FQ","FILING_STATUS=OR","FA_ADJUSTED=GAAP","Sort=A","Dates=H","DateFormat=P","Fill=—","Direction=H","UseDPDF=Y")</f>
        <v>0.63070000000000004</v>
      </c>
      <c r="AN12" s="14">
        <f>_xll.BDH("AMZN US Equity","EBITDA_PER_SH","FQ2 2008","FQ2 2008","Currency=USD","Period=FQ","BEST_FPERIOD_OVERRIDE=FQ","FILING_STATUS=OR","FA_ADJUSTED=GAAP","Sort=A","Dates=H","DateFormat=P","Fill=—","Direction=H","UseDPDF=Y")</f>
        <v>0.68330000000000002</v>
      </c>
      <c r="AO12" s="14">
        <f>_xll.BDH("AMZN US Equity","EBITDA_PER_SH","FQ3 2008","FQ3 2008","Currency=USD","Period=FQ","BEST_FPERIOD_OVERRIDE=FQ","FILING_STATUS=OR","FA_ADJUSTED=GAAP","Sort=A","Dates=H","DateFormat=P","Fill=—","Direction=H","UseDPDF=Y")</f>
        <v>0.53859999999999997</v>
      </c>
      <c r="AP12" s="14">
        <f>_xll.BDH("AMZN US Equity","EBITDA_PER_SH","FQ4 2008","FQ4 2008","Currency=USD","Period=FQ","BEST_FPERIOD_OVERRIDE=FQ","FILING_STATUS=OR","FA_ADJUSTED=GAAP","Sort=A","Dates=H","DateFormat=P","Fill=—","Direction=H","UseDPDF=Y")</f>
        <v>0.81540000000000001</v>
      </c>
    </row>
    <row r="13" spans="1:42" x14ac:dyDescent="0.25">
      <c r="A13" s="10" t="s">
        <v>380</v>
      </c>
      <c r="B13" s="10" t="s">
        <v>381</v>
      </c>
      <c r="C13" s="14">
        <f>_xll.BDH("AMZN US Equity","OPER_INC_PER_SH","FQ4 1998","FQ4 1998","Currency=USD","Period=FQ","BEST_FPERIOD_OVERRIDE=FQ","FILING_STATUS=OR","FA_ADJUSTED=GAAP","Sort=A","Dates=H","DateFormat=P","Fill=—","Direction=H","UseDPDF=Y")</f>
        <v>-5.8299999999999998E-2</v>
      </c>
      <c r="D13" s="14">
        <f>_xll.BDH("AMZN US Equity","OPER_INC_PER_SH","FQ1 1999","FQ1 1999","Currency=USD","Period=FQ","BEST_FPERIOD_OVERRIDE=FQ","FILING_STATUS=OR","FA_ADJUSTED=GAAP","Sort=A","Dates=H","DateFormat=P","Fill=—","Direction=H","UseDPDF=Y")</f>
        <v>-0.16439999999999999</v>
      </c>
      <c r="E13" s="14">
        <f>_xll.BDH("AMZN US Equity","OPER_INC_PER_SH","FQ2 1999","FQ2 1999","Currency=USD","Period=FQ","BEST_FPERIOD_OVERRIDE=FQ","FILING_STATUS=OR","FA_ADJUSTED=GAAP","Sort=A","Dates=H","DateFormat=P","Fill=—","Direction=H","UseDPDF=Y")</f>
        <v>-0.33839999999999998</v>
      </c>
      <c r="F13" s="14">
        <f>_xll.BDH("AMZN US Equity","OPER_INC_PER_SH","FQ3 1999","FQ3 1999","Currency=USD","Period=FQ","BEST_FPERIOD_OVERRIDE=FQ","FILING_STATUS=OR","FA_ADJUSTED=GAAP","Sort=A","Dates=H","DateFormat=P","Fill=—","Direction=H","UseDPDF=Y")</f>
        <v>-0.49730000000000002</v>
      </c>
      <c r="G13" s="14">
        <f>_xll.BDH("AMZN US Equity","OPER_INC_PER_SH","FQ4 1999","FQ4 1999","Currency=USD","Period=FQ","BEST_FPERIOD_OVERRIDE=FQ","FILING_STATUS=OR","FA_ADJUSTED=GAAP","Sort=A","Dates=H","DateFormat=P","Fill=—","Direction=H","UseDPDF=Y")</f>
        <v>-0.2429</v>
      </c>
      <c r="H13" s="14">
        <f>_xll.BDH("AMZN US Equity","OPER_INC_PER_SH","FQ1 2000","FQ1 2000","Currency=USD","Period=FQ","BEST_FPERIOD_OVERRIDE=FQ","FILING_STATUS=OR","FA_ADJUSTED=GAAP","Sort=A","Dates=H","DateFormat=P","Fill=—","Direction=H","UseDPDF=Y")</f>
        <v>-0.5696</v>
      </c>
      <c r="I13" s="14">
        <f>_xll.BDH("AMZN US Equity","OPER_INC_PER_SH","FQ3 2000","FQ3 2000","Currency=USD","Period=FQ","BEST_FPERIOD_OVERRIDE=FQ","FILING_STATUS=OR","FA_ADJUSTED=GAAP","Sort=A","Dates=H","DateFormat=P","Fill=—","Direction=H","UseDPDF=Y")</f>
        <v>-0.42870000000000003</v>
      </c>
      <c r="J13" s="14">
        <f>_xll.BDH("AMZN US Equity","OPER_INC_PER_SH","FQ4 2000","FQ4 2000","Currency=USD","Period=FQ","BEST_FPERIOD_OVERRIDE=FQ","FILING_STATUS=OR","FA_ADJUSTED=GAAP","Sort=A","Dates=H","DateFormat=P","Fill=—","Direction=H","UseDPDF=Y")</f>
        <v>-0.3881</v>
      </c>
      <c r="K13" s="14">
        <f>_xll.BDH("AMZN US Equity","OPER_INC_PER_SH","FQ1 2001","FQ1 2001","Currency=USD","Period=FQ","BEST_FPERIOD_OVERRIDE=FQ","FILING_STATUS=OR","FA_ADJUSTED=GAAP","Sort=A","Dates=H","DateFormat=P","Fill=—","Direction=H","UseDPDF=Y")</f>
        <v>-0.2863</v>
      </c>
      <c r="L13" s="14">
        <f>_xll.BDH("AMZN US Equity","OPER_INC_PER_SH","FQ2 2001","FQ2 2001","Currency=USD","Period=FQ","BEST_FPERIOD_OVERRIDE=FQ","FILING_STATUS=OR","FA_ADJUSTED=GAAP","Sort=A","Dates=H","DateFormat=P","Fill=—","Direction=H","UseDPDF=Y")</f>
        <v>-0.22570000000000001</v>
      </c>
      <c r="M13" s="14">
        <f>_xll.BDH("AMZN US Equity","OPER_INC_PER_SH","FQ3 2001","FQ3 2001","Currency=USD","Period=FQ","BEST_FPERIOD_OVERRIDE=FQ","FILING_STATUS=OR","FA_ADJUSTED=GAAP","Sort=A","Dates=H","DateFormat=P","Fill=—","Direction=H","UseDPDF=Y")</f>
        <v>-0.1802</v>
      </c>
      <c r="N13" s="14">
        <f>_xll.BDH("AMZN US Equity","OPER_INC_PER_SH","FQ4 2001","FQ4 2001","Currency=USD","Period=FQ","BEST_FPERIOD_OVERRIDE=FQ","FILING_STATUS=OR","FA_ADJUSTED=GAAP","Sort=A","Dates=H","DateFormat=P","Fill=—","Direction=H","UseDPDF=Y")</f>
        <v>5.8599999999999999E-2</v>
      </c>
      <c r="O13" s="14">
        <f>_xll.BDH("AMZN US Equity","OPER_INC_PER_SH","FQ1 2002","FQ1 2002","Currency=USD","Period=FQ","BEST_FPERIOD_OVERRIDE=FQ","FILING_STATUS=OR","FA_ADJUSTED=GAAP","Sort=A","Dates=H","DateFormat=P","Fill=—","Direction=H","UseDPDF=Y")</f>
        <v>3.15E-2</v>
      </c>
      <c r="P13" s="14">
        <f>_xll.BDH("AMZN US Equity","OPER_INC_PER_SH","FQ2 2002","FQ2 2002","Currency=USD","Period=FQ","BEST_FPERIOD_OVERRIDE=FQ","FILING_STATUS=OR","FA_ADJUSTED=GAAP","Sort=A","Dates=H","DateFormat=P","Fill=—","Direction=H","UseDPDF=Y")</f>
        <v>3.8999999999999998E-3</v>
      </c>
      <c r="Q13" s="14">
        <f>_xll.BDH("AMZN US Equity","OPER_INC_PER_SH","FQ3 2002","FQ3 2002","Currency=USD","Period=FQ","BEST_FPERIOD_OVERRIDE=FQ","FILING_STATUS=OR","FA_ADJUSTED=GAAP","Sort=A","Dates=H","DateFormat=P","Fill=—","Direction=H","UseDPDF=Y")</f>
        <v>7.1400000000000005E-2</v>
      </c>
      <c r="R13" s="14">
        <f>_xll.BDH("AMZN US Equity","OPER_INC_PER_SH","FQ4 2002","FQ4 2002","Currency=USD","Period=FQ","BEST_FPERIOD_OVERRIDE=FQ","FILING_STATUS=OR","FA_ADJUSTED=GAAP","Sort=A","Dates=H","DateFormat=P","Fill=—","Direction=H","UseDPDF=Y")</f>
        <v>0.1704</v>
      </c>
      <c r="S13" s="14">
        <f>_xll.BDH("AMZN US Equity","OPER_INC_PER_SH","FQ1 2003","FQ1 2003","Currency=USD","Period=FQ","BEST_FPERIOD_OVERRIDE=FQ","FILING_STATUS=OR","FA_ADJUSTED=GAAP","Sort=A","Dates=H","DateFormat=P","Fill=—","Direction=H","UseDPDF=Y")</f>
        <v>0.10100000000000001</v>
      </c>
      <c r="T13" s="14">
        <f>_xll.BDH("AMZN US Equity","OPER_INC_PER_SH","FQ2 2003","FQ2 2003","Currency=USD","Period=FQ","BEST_FPERIOD_OVERRIDE=FQ","FILING_STATUS=OR","FA_ADJUSTED=GAAP","Sort=A","Dates=H","DateFormat=P","Fill=—","Direction=H","UseDPDF=Y")</f>
        <v>0.1062</v>
      </c>
      <c r="U13" s="14">
        <f>_xll.BDH("AMZN US Equity","OPER_INC_PER_SH","FQ3 2003","FQ3 2003","Currency=USD","Period=FQ","BEST_FPERIOD_OVERRIDE=FQ","FILING_STATUS=OR","FA_ADJUSTED=GAAP","Sort=A","Dates=H","DateFormat=P","Fill=—","Direction=H","UseDPDF=Y")</f>
        <v>0.1305</v>
      </c>
      <c r="V13" s="14">
        <f>_xll.BDH("AMZN US Equity","OPER_INC_PER_SH","FQ4 2003","FQ4 2003","Currency=USD","Period=FQ","BEST_FPERIOD_OVERRIDE=FQ","FILING_STATUS=OR","FA_ADJUSTED=GAAP","Sort=A","Dates=H","DateFormat=P","Fill=—","Direction=H","UseDPDF=Y")</f>
        <v>0.34320000000000001</v>
      </c>
      <c r="W13" s="14">
        <f>_xll.BDH("AMZN US Equity","OPER_INC_PER_SH","FQ1 2004","FQ1 2004","Currency=USD","Period=FQ","BEST_FPERIOD_OVERRIDE=FQ","FILING_STATUS=OR","FA_ADJUSTED=GAAP","Sort=A","Dates=H","DateFormat=P","Fill=—","Direction=H","UseDPDF=Y")</f>
        <v>0.2737</v>
      </c>
      <c r="X13" s="14">
        <f>_xll.BDH("AMZN US Equity","OPER_INC_PER_SH","FQ2 2004","FQ2 2004","Currency=USD","Period=FQ","BEST_FPERIOD_OVERRIDE=FQ","FILING_STATUS=OR","FA_ADJUSTED=GAAP","Sort=A","Dates=H","DateFormat=P","Fill=—","Direction=H","UseDPDF=Y")</f>
        <v>0.19520000000000001</v>
      </c>
      <c r="Y13" s="14">
        <f>_xll.BDH("AMZN US Equity","OPER_INC_PER_SH","FQ3 2004","FQ3 2004","Currency=USD","Period=FQ","BEST_FPERIOD_OVERRIDE=FQ","FILING_STATUS=OR","FA_ADJUSTED=GAAP","Sort=A","Dates=H","DateFormat=P","Fill=—","Direction=H","UseDPDF=Y")</f>
        <v>0.19989999999999999</v>
      </c>
      <c r="Z13" s="14">
        <f>_xll.BDH("AMZN US Equity","OPER_INC_PER_SH","FQ4 2004","FQ4 2004","Currency=USD","Period=FQ","BEST_FPERIOD_OVERRIDE=FQ","FILING_STATUS=OR","FA_ADJUSTED=GAAP","Sort=A","Dates=H","DateFormat=P","Fill=—","Direction=H","UseDPDF=Y")</f>
        <v>0.41539999999999999</v>
      </c>
      <c r="AA13" s="14">
        <f>_xll.BDH("AMZN US Equity","OPER_INC_PER_SH","FQ1 2005","FQ1 2005","Currency=USD","Period=FQ","BEST_FPERIOD_OVERRIDE=FQ","FILING_STATUS=OR","FA_ADJUSTED=GAAP","Sort=A","Dates=H","DateFormat=P","Fill=—","Direction=H","UseDPDF=Y")</f>
        <v>0.26340000000000002</v>
      </c>
      <c r="AB13" s="14">
        <f>_xll.BDH("AMZN US Equity","OPER_INC_PER_SH","FQ2 2005","FQ2 2005","Currency=USD","Period=FQ","BEST_FPERIOD_OVERRIDE=FQ","FILING_STATUS=OR","FA_ADJUSTED=GAAP","Sort=A","Dates=H","DateFormat=P","Fill=—","Direction=H","UseDPDF=Y")</f>
        <v>0.253</v>
      </c>
      <c r="AC13" s="14">
        <f>_xll.BDH("AMZN US Equity","OPER_INC_PER_SH","FQ3 2005","FQ3 2005","Currency=USD","Period=FQ","BEST_FPERIOD_OVERRIDE=FQ","FILING_STATUS=OR","FA_ADJUSTED=GAAP","Sort=A","Dates=H","DateFormat=P","Fill=—","Direction=H","UseDPDF=Y")</f>
        <v>0.13320000000000001</v>
      </c>
      <c r="AD13" s="14">
        <f>_xll.BDH("AMZN US Equity","OPER_INC_PER_SH","FQ4 2005","FQ4 2005","Currency=USD","Period=FQ","BEST_FPERIOD_OVERRIDE=FQ","FILING_STATUS=OR","FA_ADJUSTED=GAAP","Sort=A","Dates=H","DateFormat=P","Fill=—","Direction=H","UseDPDF=Y")</f>
        <v>0.39760000000000001</v>
      </c>
      <c r="AE13" s="14">
        <f>_xll.BDH("AMZN US Equity","OPER_INC_PER_SH","FQ1 2006","FQ1 2006","Currency=USD","Period=FQ","BEST_FPERIOD_OVERRIDE=FQ","FILING_STATUS=OR","FA_ADJUSTED=GAAP","Sort=A","Dates=H","DateFormat=P","Fill=—","Direction=H","UseDPDF=Y")</f>
        <v>0.25419999999999998</v>
      </c>
      <c r="AF13" s="14">
        <f>_xll.BDH("AMZN US Equity","OPER_INC_PER_SH","FQ2 2006","FQ2 2006","Currency=USD","Period=FQ","BEST_FPERIOD_OVERRIDE=FQ","FILING_STATUS=OR","FA_ADJUSTED=GAAP","Sort=A","Dates=H","DateFormat=P","Fill=—","Direction=H","UseDPDF=Y")</f>
        <v>0.1124</v>
      </c>
      <c r="AG13" s="14">
        <f>_xll.BDH("AMZN US Equity","OPER_INC_PER_SH","FQ3 2006","FQ3 2006","Currency=USD","Period=FQ","BEST_FPERIOD_OVERRIDE=FQ","FILING_STATUS=OR","FA_ADJUSTED=GAAP","Sort=A","Dates=H","DateFormat=P","Fill=—","Direction=H","UseDPDF=Y")</f>
        <v>9.5899999999999999E-2</v>
      </c>
      <c r="AH13" s="14">
        <f>_xll.BDH("AMZN US Equity","OPER_INC_PER_SH","FQ4 2006","FQ4 2006","Currency=USD","Period=FQ","BEST_FPERIOD_OVERRIDE=FQ","FILING_STATUS=OR","FA_ADJUSTED=GAAP","Sort=A","Dates=H","DateFormat=P","Fill=—","Direction=H","UseDPDF=Y")</f>
        <v>0.47120000000000001</v>
      </c>
      <c r="AI13" s="14">
        <f>_xll.BDH("AMZN US Equity","OPER_INC_PER_SH","FQ1 2007","FQ1 2007","Currency=USD","Period=FQ","BEST_FPERIOD_OVERRIDE=FQ","FILING_STATUS=OR","FA_ADJUSTED=GAAP","Sort=A","Dates=H","DateFormat=P","Fill=—","Direction=H","UseDPDF=Y")</f>
        <v>0.35189999999999999</v>
      </c>
      <c r="AJ13" s="14">
        <f>_xll.BDH("AMZN US Equity","OPER_INC_PER_SH","FQ2 2007","FQ2 2007","Currency=USD","Period=FQ","BEST_FPERIOD_OVERRIDE=FQ","FILING_STATUS=OR","FA_ADJUSTED=GAAP","Sort=A","Dates=H","DateFormat=P","Fill=—","Direction=H","UseDPDF=Y")</f>
        <v>0.28160000000000002</v>
      </c>
      <c r="AK13" s="14">
        <f>_xll.BDH("AMZN US Equity","OPER_INC_PER_SH","FQ3 2007","FQ3 2007","Currency=USD","Period=FQ","BEST_FPERIOD_OVERRIDE=FQ","FILING_STATUS=OR","FA_ADJUSTED=GAAP","Sort=A","Dates=H","DateFormat=P","Fill=—","Direction=H","UseDPDF=Y")</f>
        <v>0.29709999999999998</v>
      </c>
      <c r="AL13" s="14">
        <f>_xll.BDH("AMZN US Equity","OPER_INC_PER_SH","FQ4 2007","FQ4 2007","Currency=USD","Period=FQ","BEST_FPERIOD_OVERRIDE=FQ","FILING_STATUS=OR","FA_ADJUSTED=GAAP","Sort=A","Dates=H","DateFormat=P","Fill=—","Direction=H","UseDPDF=Y")</f>
        <v>0.65139999999999998</v>
      </c>
      <c r="AM13" s="14">
        <f>_xll.BDH("AMZN US Equity","OPER_INC_PER_SH","FQ1 2008","FQ1 2008","Currency=USD","Period=FQ","BEST_FPERIOD_OVERRIDE=FQ","FILING_STATUS=OR","FA_ADJUSTED=GAAP","Sort=A","Dates=H","DateFormat=P","Fill=—","Direction=H","UseDPDF=Y")</f>
        <v>0.4748</v>
      </c>
      <c r="AN13" s="14">
        <f>_xll.BDH("AMZN US Equity","OPER_INC_PER_SH","FQ2 2008","FQ2 2008","Currency=USD","Period=FQ","BEST_FPERIOD_OVERRIDE=FQ","FILING_STATUS=OR","FA_ADJUSTED=GAAP","Sort=A","Dates=H","DateFormat=P","Fill=—","Direction=H","UseDPDF=Y")</f>
        <v>0.51670000000000005</v>
      </c>
      <c r="AO13" s="14">
        <f>_xll.BDH("AMZN US Equity","OPER_INC_PER_SH","FQ3 2008","FQ3 2008","Currency=USD","Period=FQ","BEST_FPERIOD_OVERRIDE=FQ","FILING_STATUS=OR","FA_ADJUSTED=GAAP","Sort=A","Dates=H","DateFormat=P","Fill=—","Direction=H","UseDPDF=Y")</f>
        <v>0.36070000000000002</v>
      </c>
      <c r="AP13" s="14">
        <f>_xll.BDH("AMZN US Equity","OPER_INC_PER_SH","FQ4 2008","FQ4 2008","Currency=USD","Period=FQ","BEST_FPERIOD_OVERRIDE=FQ","FILING_STATUS=OR","FA_ADJUSTED=GAAP","Sort=A","Dates=H","DateFormat=P","Fill=—","Direction=H","UseDPDF=Y")</f>
        <v>0.63549999999999995</v>
      </c>
    </row>
    <row r="14" spans="1:42" x14ac:dyDescent="0.25">
      <c r="A14" s="10" t="s">
        <v>382</v>
      </c>
      <c r="B14" s="10" t="s">
        <v>138</v>
      </c>
      <c r="C14" s="14">
        <f>_xll.BDH("AMZN US Equity","IS_EPS","FQ4 1998","FQ4 1998","Currency=USD","Period=FQ","BEST_FPERIOD_OVERRIDE=FQ","FILING_STATUS=OR","FA_ADJUSTED=GAAP","Sort=A","Dates=H","DateFormat=P","Fill=—","Direction=H","UseDPDF=Y")</f>
        <v>-0.15</v>
      </c>
      <c r="D14" s="14">
        <f>_xll.BDH("AMZN US Equity","IS_EPS","FQ1 1999","FQ1 1999","Currency=USD","Period=FQ","BEST_FPERIOD_OVERRIDE=FQ","FILING_STATUS=OR","FA_ADJUSTED=GAAP","Sort=A","Dates=H","DateFormat=P","Fill=—","Direction=H","UseDPDF=Y")</f>
        <v>-0.2</v>
      </c>
      <c r="E14" s="14">
        <f>_xll.BDH("AMZN US Equity","IS_EPS","FQ2 1999","FQ2 1999","Currency=USD","Period=FQ","BEST_FPERIOD_OVERRIDE=FQ","FILING_STATUS=OR","FA_ADJUSTED=GAAP","Sort=A","Dates=H","DateFormat=P","Fill=—","Direction=H","UseDPDF=Y")</f>
        <v>-0.43</v>
      </c>
      <c r="F14" s="14">
        <f>_xll.BDH("AMZN US Equity","IS_EPS","FQ3 1999","FQ3 1999","Currency=USD","Period=FQ","BEST_FPERIOD_OVERRIDE=FQ","FILING_STATUS=OR","FA_ADJUSTED=GAAP","Sort=A","Dates=H","DateFormat=P","Fill=—","Direction=H","UseDPDF=Y")</f>
        <v>-0.59</v>
      </c>
      <c r="G14" s="14">
        <f>_xll.BDH("AMZN US Equity","IS_EPS","FQ4 1999","FQ4 1999","Currency=USD","Period=FQ","BEST_FPERIOD_OVERRIDE=FQ","FILING_STATUS=OR","FA_ADJUSTED=GAAP","Sort=A","Dates=H","DateFormat=P","Fill=—","Direction=H","UseDPDF=Y")</f>
        <v>-0.96</v>
      </c>
      <c r="H14" s="14">
        <f>_xll.BDH("AMZN US Equity","IS_EPS","FQ1 2000","FQ1 2000","Currency=USD","Period=FQ","BEST_FPERIOD_OVERRIDE=FQ","FILING_STATUS=OR","FA_ADJUSTED=GAAP","Sort=A","Dates=H","DateFormat=P","Fill=—","Direction=H","UseDPDF=Y")</f>
        <v>-0.9</v>
      </c>
      <c r="I14" s="14">
        <f>_xll.BDH("AMZN US Equity","IS_EPS","FQ3 2000","FQ3 2000","Currency=USD","Period=FQ","BEST_FPERIOD_OVERRIDE=FQ","FILING_STATUS=OR","FA_ADJUSTED=GAAP","Sort=A","Dates=H","DateFormat=P","Fill=—","Direction=H","UseDPDF=Y")</f>
        <v>-0.68</v>
      </c>
      <c r="J14" s="14">
        <f>_xll.BDH("AMZN US Equity","IS_EPS","FQ4 2000","FQ4 2000","Currency=USD","Period=FQ","BEST_FPERIOD_OVERRIDE=FQ","FILING_STATUS=OR","FA_ADJUSTED=GAAP","Sort=A","Dates=H","DateFormat=P","Fill=—","Direction=H","UseDPDF=Y")</f>
        <v>-1.53</v>
      </c>
      <c r="K14" s="14">
        <f>_xll.BDH("AMZN US Equity","IS_EPS","FQ1 2001","FQ1 2001","Currency=USD","Period=FQ","BEST_FPERIOD_OVERRIDE=FQ","FILING_STATUS=OR","FA_ADJUSTED=GAAP","Sort=A","Dates=H","DateFormat=P","Fill=—","Direction=H","UseDPDF=Y")</f>
        <v>-0.66</v>
      </c>
      <c r="L14" s="14">
        <f>_xll.BDH("AMZN US Equity","IS_EPS","FQ2 2001","FQ2 2001","Currency=USD","Period=FQ","BEST_FPERIOD_OVERRIDE=FQ","FILING_STATUS=OR","FA_ADJUSTED=GAAP","Sort=A","Dates=H","DateFormat=P","Fill=—","Direction=H","UseDPDF=Y")</f>
        <v>-0.47</v>
      </c>
      <c r="M14" s="14">
        <f>_xll.BDH("AMZN US Equity","IS_EPS","FQ3 2001","FQ3 2001","Currency=USD","Period=FQ","BEST_FPERIOD_OVERRIDE=FQ","FILING_STATUS=OR","FA_ADJUSTED=GAAP","Sort=A","Dates=H","DateFormat=P","Fill=—","Direction=H","UseDPDF=Y")</f>
        <v>-0.46</v>
      </c>
      <c r="N14" s="14">
        <f>_xll.BDH("AMZN US Equity","IS_EPS","FQ4 2001","FQ4 2001","Currency=USD","Period=FQ","BEST_FPERIOD_OVERRIDE=FQ","FILING_STATUS=OR","FA_ADJUSTED=GAAP","Sort=A","Dates=H","DateFormat=P","Fill=—","Direction=H","UseDPDF=Y")</f>
        <v>0.01</v>
      </c>
      <c r="O14" s="14">
        <f>_xll.BDH("AMZN US Equity","IS_EPS","FQ1 2002","FQ1 2002","Currency=USD","Period=FQ","BEST_FPERIOD_OVERRIDE=FQ","FILING_STATUS=OR","FA_ADJUSTED=GAAP","Sort=A","Dates=H","DateFormat=P","Fill=—","Direction=H","UseDPDF=Y")</f>
        <v>-0.06</v>
      </c>
      <c r="P14" s="14">
        <f>_xll.BDH("AMZN US Equity","IS_EPS","FQ2 2002","FQ2 2002","Currency=USD","Period=FQ","BEST_FPERIOD_OVERRIDE=FQ","FILING_STATUS=OR","FA_ADJUSTED=GAAP","Sort=A","Dates=H","DateFormat=P","Fill=—","Direction=H","UseDPDF=Y")</f>
        <v>-0.25</v>
      </c>
      <c r="Q14" s="14">
        <f>_xll.BDH("AMZN US Equity","IS_EPS","FQ3 2002","FQ3 2002","Currency=USD","Period=FQ","BEST_FPERIOD_OVERRIDE=FQ","FILING_STATUS=OR","FA_ADJUSTED=GAAP","Sort=A","Dates=H","DateFormat=P","Fill=—","Direction=H","UseDPDF=Y")</f>
        <v>-0.09</v>
      </c>
      <c r="R14" s="14">
        <f>_xll.BDH("AMZN US Equity","IS_EPS","FQ4 2002","FQ4 2002","Currency=USD","Period=FQ","BEST_FPERIOD_OVERRIDE=FQ","FILING_STATUS=OR","FA_ADJUSTED=GAAP","Sort=A","Dates=H","DateFormat=P","Fill=—","Direction=H","UseDPDF=Y")</f>
        <v>0.01</v>
      </c>
      <c r="S14" s="14">
        <f>_xll.BDH("AMZN US Equity","IS_EPS","FQ1 2003","FQ1 2003","Currency=USD","Period=FQ","BEST_FPERIOD_OVERRIDE=FQ","FILING_STATUS=OR","FA_ADJUSTED=GAAP","Sort=A","Dates=H","DateFormat=P","Fill=—","Direction=H","UseDPDF=Y")</f>
        <v>-0.03</v>
      </c>
      <c r="T14" s="14">
        <f>_xll.BDH("AMZN US Equity","IS_EPS","FQ2 2003","FQ2 2003","Currency=USD","Period=FQ","BEST_FPERIOD_OVERRIDE=FQ","FILING_STATUS=OR","FA_ADJUSTED=GAAP","Sort=A","Dates=H","DateFormat=P","Fill=—","Direction=H","UseDPDF=Y")</f>
        <v>-0.11</v>
      </c>
      <c r="U14" s="14">
        <f>_xll.BDH("AMZN US Equity","IS_EPS","FQ3 2003","FQ3 2003","Currency=USD","Period=FQ","BEST_FPERIOD_OVERRIDE=FQ","FILING_STATUS=OR","FA_ADJUSTED=GAAP","Sort=A","Dates=H","DateFormat=P","Fill=—","Direction=H","UseDPDF=Y")</f>
        <v>0.04</v>
      </c>
      <c r="V14" s="14">
        <f>_xll.BDH("AMZN US Equity","IS_EPS","FQ4 2003","FQ4 2003","Currency=USD","Period=FQ","BEST_FPERIOD_OVERRIDE=FQ","FILING_STATUS=OR","FA_ADJUSTED=GAAP","Sort=A","Dates=H","DateFormat=P","Fill=—","Direction=H","UseDPDF=Y")</f>
        <v>0.18</v>
      </c>
      <c r="W14" s="14">
        <f>_xll.BDH("AMZN US Equity","IS_EPS","FQ1 2004","FQ1 2004","Currency=USD","Period=FQ","BEST_FPERIOD_OVERRIDE=FQ","FILING_STATUS=OR","FA_ADJUSTED=GAAP","Sort=A","Dates=H","DateFormat=P","Fill=—","Direction=H","UseDPDF=Y")</f>
        <v>0.28000000000000003</v>
      </c>
      <c r="X14" s="14">
        <f>_xll.BDH("AMZN US Equity","IS_EPS","FQ2 2004","FQ2 2004","Currency=USD","Period=FQ","BEST_FPERIOD_OVERRIDE=FQ","FILING_STATUS=OR","FA_ADJUSTED=GAAP","Sort=A","Dates=H","DateFormat=P","Fill=—","Direction=H","UseDPDF=Y")</f>
        <v>0.19</v>
      </c>
      <c r="Y14" s="14">
        <f>_xll.BDH("AMZN US Equity","IS_EPS","FQ3 2004","FQ3 2004","Currency=USD","Period=FQ","BEST_FPERIOD_OVERRIDE=FQ","FILING_STATUS=OR","FA_ADJUSTED=GAAP","Sort=A","Dates=H","DateFormat=P","Fill=—","Direction=H","UseDPDF=Y")</f>
        <v>0.13</v>
      </c>
      <c r="Z14" s="14">
        <f>_xll.BDH("AMZN US Equity","IS_EPS","FQ4 2004","FQ4 2004","Currency=USD","Period=FQ","BEST_FPERIOD_OVERRIDE=FQ","FILING_STATUS=OR","FA_ADJUSTED=GAAP","Sort=A","Dates=H","DateFormat=P","Fill=—","Direction=H","UseDPDF=Y")</f>
        <v>0.85</v>
      </c>
      <c r="AA14" s="14">
        <f>_xll.BDH("AMZN US Equity","IS_EPS","FQ1 2005","FQ1 2005","Currency=USD","Period=FQ","BEST_FPERIOD_OVERRIDE=FQ","FILING_STATUS=OR","FA_ADJUSTED=GAAP","Sort=A","Dates=H","DateFormat=P","Fill=—","Direction=H","UseDPDF=Y")</f>
        <v>0.19</v>
      </c>
      <c r="AB14" s="14">
        <f>_xll.BDH("AMZN US Equity","IS_EPS","FQ2 2005","FQ2 2005","Currency=USD","Period=FQ","BEST_FPERIOD_OVERRIDE=FQ","FILING_STATUS=OR","FA_ADJUSTED=GAAP","Sort=A","Dates=H","DateFormat=P","Fill=—","Direction=H","UseDPDF=Y")</f>
        <v>0.13</v>
      </c>
      <c r="AC14" s="14">
        <f>_xll.BDH("AMZN US Equity","IS_EPS","FQ3 2005","FQ3 2005","Currency=USD","Period=FQ","BEST_FPERIOD_OVERRIDE=FQ","FILING_STATUS=OR","FA_ADJUSTED=GAAP","Sort=A","Dates=H","DateFormat=P","Fill=—","Direction=H","UseDPDF=Y")</f>
        <v>7.0000000000000007E-2</v>
      </c>
      <c r="AD14" s="14">
        <f>_xll.BDH("AMZN US Equity","IS_EPS","FQ4 2005","FQ4 2005","Currency=USD","Period=FQ","BEST_FPERIOD_OVERRIDE=FQ","FILING_STATUS=OR","FA_ADJUSTED=GAAP","Sort=A","Dates=H","DateFormat=P","Fill=—","Direction=H","UseDPDF=Y")</f>
        <v>0.48</v>
      </c>
      <c r="AE14" s="14">
        <f>_xll.BDH("AMZN US Equity","IS_EPS","FQ1 2006","FQ1 2006","Currency=USD","Period=FQ","BEST_FPERIOD_OVERRIDE=FQ","FILING_STATUS=OR","FA_ADJUSTED=GAAP","Sort=A","Dates=H","DateFormat=P","Fill=—","Direction=H","UseDPDF=Y")</f>
        <v>0.12</v>
      </c>
      <c r="AF14" s="14">
        <f>_xll.BDH("AMZN US Equity","IS_EPS","FQ2 2006","FQ2 2006","Currency=USD","Period=FQ","BEST_FPERIOD_OVERRIDE=FQ","FILING_STATUS=OR","FA_ADJUSTED=GAAP","Sort=A","Dates=H","DateFormat=P","Fill=—","Direction=H","UseDPDF=Y")</f>
        <v>0.05</v>
      </c>
      <c r="AG14" s="14">
        <f>_xll.BDH("AMZN US Equity","IS_EPS","FQ3 2006","FQ3 2006","Currency=USD","Period=FQ","BEST_FPERIOD_OVERRIDE=FQ","FILING_STATUS=OR","FA_ADJUSTED=GAAP","Sort=A","Dates=H","DateFormat=P","Fill=—","Direction=H","UseDPDF=Y")</f>
        <v>0.05</v>
      </c>
      <c r="AH14" s="14">
        <f>_xll.BDH("AMZN US Equity","IS_EPS","FQ4 2006","FQ4 2006","Currency=USD","Period=FQ","BEST_FPERIOD_OVERRIDE=FQ","FILING_STATUS=OR","FA_ADJUSTED=GAAP","Sort=A","Dates=H","DateFormat=P","Fill=—","Direction=H","UseDPDF=Y")</f>
        <v>0.24</v>
      </c>
      <c r="AI14" s="14">
        <f>_xll.BDH("AMZN US Equity","IS_EPS","FQ1 2007","FQ1 2007","Currency=USD","Period=FQ","BEST_FPERIOD_OVERRIDE=FQ","FILING_STATUS=OR","FA_ADJUSTED=GAAP","Sort=A","Dates=H","DateFormat=P","Fill=—","Direction=H","UseDPDF=Y")</f>
        <v>0.27</v>
      </c>
      <c r="AJ14" s="14">
        <f>_xll.BDH("AMZN US Equity","IS_EPS","FQ2 2007","FQ2 2007","Currency=USD","Period=FQ","BEST_FPERIOD_OVERRIDE=FQ","FILING_STATUS=OR","FA_ADJUSTED=GAAP","Sort=A","Dates=H","DateFormat=P","Fill=—","Direction=H","UseDPDF=Y")</f>
        <v>0.19</v>
      </c>
      <c r="AK14" s="14">
        <f>_xll.BDH("AMZN US Equity","IS_EPS","FQ3 2007","FQ3 2007","Currency=USD","Period=FQ","BEST_FPERIOD_OVERRIDE=FQ","FILING_STATUS=OR","FA_ADJUSTED=GAAP","Sort=A","Dates=H","DateFormat=P","Fill=—","Direction=H","UseDPDF=Y")</f>
        <v>0.19</v>
      </c>
      <c r="AL14" s="14">
        <f>_xll.BDH("AMZN US Equity","IS_EPS","FQ4 2007","FQ4 2007","Currency=USD","Period=FQ","BEST_FPERIOD_OVERRIDE=FQ","FILING_STATUS=OR","FA_ADJUSTED=GAAP","Sort=A","Dates=H","DateFormat=P","Fill=—","Direction=H","UseDPDF=Y")</f>
        <v>0.5</v>
      </c>
      <c r="AM14" s="14">
        <f>_xll.BDH("AMZN US Equity","IS_EPS","FQ1 2008","FQ1 2008","Currency=USD","Period=FQ","BEST_FPERIOD_OVERRIDE=FQ","FILING_STATUS=OR","FA_ADJUSTED=GAAP","Sort=A","Dates=H","DateFormat=P","Fill=—","Direction=H","UseDPDF=Y")</f>
        <v>0.34</v>
      </c>
      <c r="AN14" s="14">
        <f>_xll.BDH("AMZN US Equity","IS_EPS","FQ2 2008","FQ2 2008","Currency=USD","Period=FQ","BEST_FPERIOD_OVERRIDE=FQ","FILING_STATUS=OR","FA_ADJUSTED=GAAP","Sort=A","Dates=H","DateFormat=P","Fill=—","Direction=H","UseDPDF=Y")</f>
        <v>0.38</v>
      </c>
      <c r="AO14" s="14">
        <f>_xll.BDH("AMZN US Equity","IS_EPS","FQ3 2008","FQ3 2008","Currency=USD","Period=FQ","BEST_FPERIOD_OVERRIDE=FQ","FILING_STATUS=OR","FA_ADJUSTED=GAAP","Sort=A","Dates=H","DateFormat=P","Fill=—","Direction=H","UseDPDF=Y")</f>
        <v>0.28000000000000003</v>
      </c>
      <c r="AP14" s="14">
        <f>_xll.BDH("AMZN US Equity","IS_EPS","FQ4 2008","FQ4 2008","Currency=USD","Period=FQ","BEST_FPERIOD_OVERRIDE=FQ","FILING_STATUS=OR","FA_ADJUSTED=GAAP","Sort=A","Dates=H","DateFormat=P","Fill=—","Direction=H","UseDPDF=Y")</f>
        <v>0.52</v>
      </c>
    </row>
    <row r="15" spans="1:42" x14ac:dyDescent="0.25">
      <c r="A15" s="10" t="s">
        <v>383</v>
      </c>
      <c r="B15" s="10" t="s">
        <v>140</v>
      </c>
      <c r="C15" s="14">
        <f>_xll.BDH("AMZN US Equity","IS_EARN_BEF_XO_ITEMS_PER_SH","FQ4 1998","FQ4 1998","Currency=USD","Period=FQ","BEST_FPERIOD_OVERRIDE=FQ","FILING_STATUS=OR","Sort=A","Dates=H","DateFormat=P","Fill=—","Direction=H","UseDPDF=Y")</f>
        <v>-0.15</v>
      </c>
      <c r="D15" s="14">
        <f>_xll.BDH("AMZN US Equity","IS_EARN_BEF_XO_ITEMS_PER_SH","FQ1 1999","FQ1 1999","Currency=USD","Period=FQ","BEST_FPERIOD_OVERRIDE=FQ","FILING_STATUS=OR","Sort=A","Dates=H","DateFormat=P","Fill=—","Direction=H","UseDPDF=Y")</f>
        <v>-0.2</v>
      </c>
      <c r="E15" s="14">
        <f>_xll.BDH("AMZN US Equity","IS_EARN_BEF_XO_ITEMS_PER_SH","FQ2 1999","FQ2 1999","Currency=USD","Period=FQ","BEST_FPERIOD_OVERRIDE=FQ","FILING_STATUS=OR","Sort=A","Dates=H","DateFormat=P","Fill=—","Direction=H","UseDPDF=Y")</f>
        <v>-0.43</v>
      </c>
      <c r="F15" s="14">
        <f>_xll.BDH("AMZN US Equity","IS_EARN_BEF_XO_ITEMS_PER_SH","FQ3 1999","FQ3 1999","Currency=USD","Period=FQ","BEST_FPERIOD_OVERRIDE=FQ","FILING_STATUS=OR","Sort=A","Dates=H","DateFormat=P","Fill=—","Direction=H","UseDPDF=Y")</f>
        <v>-0.59</v>
      </c>
      <c r="G15" s="14">
        <f>_xll.BDH("AMZN US Equity","IS_EARN_BEF_XO_ITEMS_PER_SH","FQ4 1999","FQ4 1999","Currency=USD","Period=FQ","BEST_FPERIOD_OVERRIDE=FQ","FILING_STATUS=OR","Sort=A","Dates=H","DateFormat=P","Fill=—","Direction=H","UseDPDF=Y")</f>
        <v>-0.96</v>
      </c>
      <c r="H15" s="14">
        <f>_xll.BDH("AMZN US Equity","IS_EARN_BEF_XO_ITEMS_PER_SH","FQ1 2000","FQ1 2000","Currency=USD","Period=FQ","BEST_FPERIOD_OVERRIDE=FQ","FILING_STATUS=OR","Sort=A","Dates=H","DateFormat=P","Fill=—","Direction=H","UseDPDF=Y")</f>
        <v>-0.9</v>
      </c>
      <c r="I15" s="14">
        <f>_xll.BDH("AMZN US Equity","IS_EARN_BEF_XO_ITEMS_PER_SH","FQ3 2000","FQ3 2000","Currency=USD","Period=FQ","BEST_FPERIOD_OVERRIDE=FQ","FILING_STATUS=OR","Sort=A","Dates=H","DateFormat=P","Fill=—","Direction=H","UseDPDF=Y")</f>
        <v>-0.68</v>
      </c>
      <c r="J15" s="14">
        <f>_xll.BDH("AMZN US Equity","IS_EARN_BEF_XO_ITEMS_PER_SH","FQ4 2000","FQ4 2000","Currency=USD","Period=FQ","BEST_FPERIOD_OVERRIDE=FQ","FILING_STATUS=OR","Sort=A","Dates=H","DateFormat=P","Fill=—","Direction=H","UseDPDF=Y")</f>
        <v>-1.53</v>
      </c>
      <c r="K15" s="14">
        <f>_xll.BDH("AMZN US Equity","IS_EARN_BEF_XO_ITEMS_PER_SH","FQ1 2001","FQ1 2001","Currency=USD","Period=FQ","BEST_FPERIOD_OVERRIDE=FQ","FILING_STATUS=OR","Sort=A","Dates=H","DateFormat=P","Fill=—","Direction=H","UseDPDF=Y")</f>
        <v>-0.63</v>
      </c>
      <c r="L15" s="14">
        <f>_xll.BDH("AMZN US Equity","IS_EARN_BEF_XO_ITEMS_PER_SH","FQ2 2001","FQ2 2001","Currency=USD","Period=FQ","BEST_FPERIOD_OVERRIDE=FQ","FILING_STATUS=OR","Sort=A","Dates=H","DateFormat=P","Fill=—","Direction=H","UseDPDF=Y")</f>
        <v>-0.47</v>
      </c>
      <c r="M15" s="14">
        <f>_xll.BDH("AMZN US Equity","IS_EARN_BEF_XO_ITEMS_PER_SH","FQ3 2001","FQ3 2001","Currency=USD","Period=FQ","BEST_FPERIOD_OVERRIDE=FQ","FILING_STATUS=OR","Sort=A","Dates=H","DateFormat=P","Fill=—","Direction=H","UseDPDF=Y")</f>
        <v>-0.46</v>
      </c>
      <c r="N15" s="14">
        <f>_xll.BDH("AMZN US Equity","IS_EARN_BEF_XO_ITEMS_PER_SH","FQ4 2001","FQ4 2001","Currency=USD","Period=FQ","BEST_FPERIOD_OVERRIDE=FQ","FILING_STATUS=OR","Sort=A","Dates=H","DateFormat=P","Fill=—","Direction=H","UseDPDF=Y")</f>
        <v>0.01</v>
      </c>
      <c r="O15" s="14">
        <f>_xll.BDH("AMZN US Equity","IS_EARN_BEF_XO_ITEMS_PER_SH","FQ1 2002","FQ1 2002","Currency=USD","Period=FQ","BEST_FPERIOD_OVERRIDE=FQ","FILING_STATUS=OR","Sort=A","Dates=H","DateFormat=P","Fill=—","Direction=H","UseDPDF=Y")</f>
        <v>-0.06</v>
      </c>
      <c r="P15" s="14">
        <f>_xll.BDH("AMZN US Equity","IS_EARN_BEF_XO_ITEMS_PER_SH","FQ2 2002","FQ2 2002","Currency=USD","Period=FQ","BEST_FPERIOD_OVERRIDE=FQ","FILING_STATUS=OR","Sort=A","Dates=H","DateFormat=P","Fill=—","Direction=H","UseDPDF=Y")</f>
        <v>-0.25</v>
      </c>
      <c r="Q15" s="14">
        <f>_xll.BDH("AMZN US Equity","IS_EARN_BEF_XO_ITEMS_PER_SH","FQ3 2002","FQ3 2002","Currency=USD","Period=FQ","BEST_FPERIOD_OVERRIDE=FQ","FILING_STATUS=OR","Sort=A","Dates=H","DateFormat=P","Fill=—","Direction=H","UseDPDF=Y")</f>
        <v>-0.09</v>
      </c>
      <c r="R15" s="14">
        <f>_xll.BDH("AMZN US Equity","IS_EARN_BEF_XO_ITEMS_PER_SH","FQ4 2002","FQ4 2002","Currency=USD","Period=FQ","BEST_FPERIOD_OVERRIDE=FQ","FILING_STATUS=OR","Sort=A","Dates=H","DateFormat=P","Fill=—","Direction=H","UseDPDF=Y")</f>
        <v>0.01</v>
      </c>
      <c r="S15" s="14">
        <f>_xll.BDH("AMZN US Equity","IS_EARN_BEF_XO_ITEMS_PER_SH","FQ1 2003","FQ1 2003","Currency=USD","Period=FQ","BEST_FPERIOD_OVERRIDE=FQ","FILING_STATUS=OR","Sort=A","Dates=H","DateFormat=P","Fill=—","Direction=H","UseDPDF=Y")</f>
        <v>-0.03</v>
      </c>
      <c r="T15" s="14">
        <f>_xll.BDH("AMZN US Equity","IS_EARN_BEF_XO_ITEMS_PER_SH","FQ2 2003","FQ2 2003","Currency=USD","Period=FQ","BEST_FPERIOD_OVERRIDE=FQ","FILING_STATUS=OR","Sort=A","Dates=H","DateFormat=P","Fill=—","Direction=H","UseDPDF=Y")</f>
        <v>-0.11</v>
      </c>
      <c r="U15" s="14">
        <f>_xll.BDH("AMZN US Equity","IS_EARN_BEF_XO_ITEMS_PER_SH","FQ3 2003","FQ3 2003","Currency=USD","Period=FQ","BEST_FPERIOD_OVERRIDE=FQ","FILING_STATUS=OR","Sort=A","Dates=H","DateFormat=P","Fill=—","Direction=H","UseDPDF=Y")</f>
        <v>0.04</v>
      </c>
      <c r="V15" s="14">
        <f>_xll.BDH("AMZN US Equity","IS_EARN_BEF_XO_ITEMS_PER_SH","FQ4 2003","FQ4 2003","Currency=USD","Period=FQ","BEST_FPERIOD_OVERRIDE=FQ","FILING_STATUS=OR","Sort=A","Dates=H","DateFormat=P","Fill=—","Direction=H","UseDPDF=Y")</f>
        <v>0.18</v>
      </c>
      <c r="W15" s="14">
        <f>_xll.BDH("AMZN US Equity","IS_EARN_BEF_XO_ITEMS_PER_SH","FQ1 2004","FQ1 2004","Currency=USD","Period=FQ","BEST_FPERIOD_OVERRIDE=FQ","FILING_STATUS=OR","Sort=A","Dates=H","DateFormat=P","Fill=—","Direction=H","UseDPDF=Y")</f>
        <v>0.28000000000000003</v>
      </c>
      <c r="X15" s="14">
        <f>_xll.BDH("AMZN US Equity","IS_EARN_BEF_XO_ITEMS_PER_SH","FQ2 2004","FQ2 2004","Currency=USD","Period=FQ","BEST_FPERIOD_OVERRIDE=FQ","FILING_STATUS=OR","Sort=A","Dates=H","DateFormat=P","Fill=—","Direction=H","UseDPDF=Y")</f>
        <v>0.19</v>
      </c>
      <c r="Y15" s="14">
        <f>_xll.BDH("AMZN US Equity","IS_EARN_BEF_XO_ITEMS_PER_SH","FQ3 2004","FQ3 2004","Currency=USD","Period=FQ","BEST_FPERIOD_OVERRIDE=FQ","FILING_STATUS=OR","Sort=A","Dates=H","DateFormat=P","Fill=—","Direction=H","UseDPDF=Y")</f>
        <v>0.13</v>
      </c>
      <c r="Z15" s="14">
        <f>_xll.BDH("AMZN US Equity","IS_EARN_BEF_XO_ITEMS_PER_SH","FQ4 2004","FQ4 2004","Currency=USD","Period=FQ","BEST_FPERIOD_OVERRIDE=FQ","FILING_STATUS=OR","Sort=A","Dates=H","DateFormat=P","Fill=—","Direction=H","UseDPDF=Y")</f>
        <v>0.85</v>
      </c>
      <c r="AA15" s="14">
        <f>_xll.BDH("AMZN US Equity","IS_EARN_BEF_XO_ITEMS_PER_SH","FQ1 2005","FQ1 2005","Currency=USD","Period=FQ","BEST_FPERIOD_OVERRIDE=FQ","FILING_STATUS=OR","Sort=A","Dates=H","DateFormat=P","Fill=—","Direction=H","UseDPDF=Y")</f>
        <v>0.13</v>
      </c>
      <c r="AB15" s="14">
        <f>_xll.BDH("AMZN US Equity","IS_EARN_BEF_XO_ITEMS_PER_SH","FQ2 2005","FQ2 2005","Currency=USD","Period=FQ","BEST_FPERIOD_OVERRIDE=FQ","FILING_STATUS=OR","Sort=A","Dates=H","DateFormat=P","Fill=—","Direction=H","UseDPDF=Y")</f>
        <v>0.13</v>
      </c>
      <c r="AC15" s="14">
        <f>_xll.BDH("AMZN US Equity","IS_EARN_BEF_XO_ITEMS_PER_SH","FQ3 2005","FQ3 2005","Currency=USD","Period=FQ","BEST_FPERIOD_OVERRIDE=FQ","FILING_STATUS=OR","Sort=A","Dates=H","DateFormat=P","Fill=—","Direction=H","UseDPDF=Y")</f>
        <v>7.0000000000000007E-2</v>
      </c>
      <c r="AD15" s="14">
        <f>_xll.BDH("AMZN US Equity","IS_EARN_BEF_XO_ITEMS_PER_SH","FQ4 2005","FQ4 2005","Currency=USD","Period=FQ","BEST_FPERIOD_OVERRIDE=FQ","FILING_STATUS=OR","Sort=A","Dates=H","DateFormat=P","Fill=—","Direction=H","UseDPDF=Y")</f>
        <v>0.48</v>
      </c>
      <c r="AE15" s="14">
        <f>_xll.BDH("AMZN US Equity","IS_EARN_BEF_XO_ITEMS_PER_SH","FQ1 2006","FQ1 2006","Currency=USD","Period=FQ","BEST_FPERIOD_OVERRIDE=FQ","FILING_STATUS=OR","Sort=A","Dates=H","DateFormat=P","Fill=—","Direction=H","UseDPDF=Y")</f>
        <v>0.12</v>
      </c>
      <c r="AF15" s="14">
        <f>_xll.BDH("AMZN US Equity","IS_EARN_BEF_XO_ITEMS_PER_SH","FQ2 2006","FQ2 2006","Currency=USD","Period=FQ","BEST_FPERIOD_OVERRIDE=FQ","FILING_STATUS=OR","Sort=A","Dates=H","DateFormat=P","Fill=—","Direction=H","UseDPDF=Y")</f>
        <v>0.05</v>
      </c>
      <c r="AG15" s="14">
        <f>_xll.BDH("AMZN US Equity","IS_EARN_BEF_XO_ITEMS_PER_SH","FQ3 2006","FQ3 2006","Currency=USD","Period=FQ","BEST_FPERIOD_OVERRIDE=FQ","FILING_STATUS=OR","Sort=A","Dates=H","DateFormat=P","Fill=—","Direction=H","UseDPDF=Y")</f>
        <v>0.05</v>
      </c>
      <c r="AH15" s="14">
        <f>_xll.BDH("AMZN US Equity","IS_EARN_BEF_XO_ITEMS_PER_SH","FQ4 2006","FQ4 2006","Currency=USD","Period=FQ","BEST_FPERIOD_OVERRIDE=FQ","FILING_STATUS=OR","Sort=A","Dates=H","DateFormat=P","Fill=—","Direction=H","UseDPDF=Y")</f>
        <v>0.24</v>
      </c>
      <c r="AI15" s="14">
        <f>_xll.BDH("AMZN US Equity","IS_EARN_BEF_XO_ITEMS_PER_SH","FQ1 2007","FQ1 2007","Currency=USD","Period=FQ","BEST_FPERIOD_OVERRIDE=FQ","FILING_STATUS=OR","Sort=A","Dates=H","DateFormat=P","Fill=—","Direction=H","UseDPDF=Y")</f>
        <v>0.27</v>
      </c>
      <c r="AJ15" s="14">
        <f>_xll.BDH("AMZN US Equity","IS_EARN_BEF_XO_ITEMS_PER_SH","FQ2 2007","FQ2 2007","Currency=USD","Period=FQ","BEST_FPERIOD_OVERRIDE=FQ","FILING_STATUS=OR","Sort=A","Dates=H","DateFormat=P","Fill=—","Direction=H","UseDPDF=Y")</f>
        <v>0.19</v>
      </c>
      <c r="AK15" s="14">
        <f>_xll.BDH("AMZN US Equity","IS_EARN_BEF_XO_ITEMS_PER_SH","FQ3 2007","FQ3 2007","Currency=USD","Period=FQ","BEST_FPERIOD_OVERRIDE=FQ","FILING_STATUS=OR","Sort=A","Dates=H","DateFormat=P","Fill=—","Direction=H","UseDPDF=Y")</f>
        <v>0.19</v>
      </c>
      <c r="AL15" s="14">
        <f>_xll.BDH("AMZN US Equity","IS_EARN_BEF_XO_ITEMS_PER_SH","FQ4 2007","FQ4 2007","Currency=USD","Period=FQ","BEST_FPERIOD_OVERRIDE=FQ","FILING_STATUS=OR","Sort=A","Dates=H","DateFormat=P","Fill=—","Direction=H","UseDPDF=Y")</f>
        <v>0.5</v>
      </c>
      <c r="AM15" s="14">
        <f>_xll.BDH("AMZN US Equity","IS_EARN_BEF_XO_ITEMS_PER_SH","FQ1 2008","FQ1 2008","Currency=USD","Period=FQ","BEST_FPERIOD_OVERRIDE=FQ","FILING_STATUS=OR","Sort=A","Dates=H","DateFormat=P","Fill=—","Direction=H","UseDPDF=Y")</f>
        <v>0.34</v>
      </c>
      <c r="AN15" s="14">
        <f>_xll.BDH("AMZN US Equity","IS_EARN_BEF_XO_ITEMS_PER_SH","FQ2 2008","FQ2 2008","Currency=USD","Period=FQ","BEST_FPERIOD_OVERRIDE=FQ","FILING_STATUS=OR","Sort=A","Dates=H","DateFormat=P","Fill=—","Direction=H","UseDPDF=Y")</f>
        <v>0.38</v>
      </c>
      <c r="AO15" s="14">
        <f>_xll.BDH("AMZN US Equity","IS_EARN_BEF_XO_ITEMS_PER_SH","FQ3 2008","FQ3 2008","Currency=USD","Period=FQ","BEST_FPERIOD_OVERRIDE=FQ","FILING_STATUS=OR","Sort=A","Dates=H","DateFormat=P","Fill=—","Direction=H","UseDPDF=Y")</f>
        <v>0.28000000000000003</v>
      </c>
      <c r="AP15" s="14">
        <f>_xll.BDH("AMZN US Equity","IS_EARN_BEF_XO_ITEMS_PER_SH","FQ4 2008","FQ4 2008","Currency=USD","Period=FQ","BEST_FPERIOD_OVERRIDE=FQ","FILING_STATUS=OR","Sort=A","Dates=H","DateFormat=P","Fill=—","Direction=H","UseDPDF=Y")</f>
        <v>0.52</v>
      </c>
    </row>
    <row r="16" spans="1:42" x14ac:dyDescent="0.25">
      <c r="A16" s="10" t="s">
        <v>384</v>
      </c>
      <c r="B16" s="10" t="s">
        <v>142</v>
      </c>
      <c r="C16" s="14">
        <f>_xll.BDH("AMZN US Equity","IS_BASIC_EPS_CONT_OPS","FQ4 1998","FQ4 1998","Currency=USD","Period=FQ","BEST_FPERIOD_OVERRIDE=FQ","FILING_STATUS=OR","Sort=A","Dates=H","DateFormat=P","Fill=—","Direction=H","UseDPDF=Y")</f>
        <v>-7.0000000000000007E-2</v>
      </c>
      <c r="D16" s="14">
        <f>_xll.BDH("AMZN US Equity","IS_BASIC_EPS_CONT_OPS","FQ1 1999","FQ1 1999","Currency=USD","Period=FQ","BEST_FPERIOD_OVERRIDE=FQ","FILING_STATUS=OR","Sort=A","Dates=H","DateFormat=P","Fill=—","Direction=H","UseDPDF=Y")</f>
        <v>-0.115</v>
      </c>
      <c r="E16" s="14">
        <f>_xll.BDH("AMZN US Equity","IS_BASIC_EPS_CONT_OPS","FQ2 1999","FQ2 1999","Currency=USD","Period=FQ","BEST_FPERIOD_OVERRIDE=FQ","FILING_STATUS=OR","Sort=A","Dates=H","DateFormat=P","Fill=—","Direction=H","UseDPDF=Y")</f>
        <v>-0.255</v>
      </c>
      <c r="F16" s="14">
        <f>_xll.BDH("AMZN US Equity","IS_BASIC_EPS_CONT_OPS","FQ3 1999","FQ3 1999","Currency=USD","Period=FQ","BEST_FPERIOD_OVERRIDE=FQ","FILING_STATUS=OR","Sort=A","Dates=H","DateFormat=P","Fill=—","Direction=H","UseDPDF=Y")</f>
        <v>-0.26</v>
      </c>
      <c r="G16" s="14">
        <f>_xll.BDH("AMZN US Equity","IS_BASIC_EPS_CONT_OPS","FQ4 1999","FQ4 1999","Currency=USD","Period=FQ","BEST_FPERIOD_OVERRIDE=FQ","FILING_STATUS=OR","Sort=A","Dates=H","DateFormat=P","Fill=—","Direction=H","UseDPDF=Y")</f>
        <v>-0.55000000000000004</v>
      </c>
      <c r="H16" s="14">
        <f>_xll.BDH("AMZN US Equity","IS_BASIC_EPS_CONT_OPS","FQ1 2000","FQ1 2000","Currency=USD","Period=FQ","BEST_FPERIOD_OVERRIDE=FQ","FILING_STATUS=OR","Sort=A","Dates=H","DateFormat=P","Fill=—","Direction=H","UseDPDF=Y")</f>
        <v>-0.35</v>
      </c>
      <c r="I16" s="14">
        <f>_xll.BDH("AMZN US Equity","IS_BASIC_EPS_CONT_OPS","FQ3 2000","FQ3 2000","Currency=USD","Period=FQ","BEST_FPERIOD_OVERRIDE=FQ","FILING_STATUS=OR","Sort=A","Dates=H","DateFormat=P","Fill=—","Direction=H","UseDPDF=Y")</f>
        <v>-0.25</v>
      </c>
      <c r="J16" s="14">
        <f>_xll.BDH("AMZN US Equity","IS_BASIC_EPS_CONT_OPS","FQ4 2000","FQ4 2000","Currency=USD","Period=FQ","BEST_FPERIOD_OVERRIDE=FQ","FILING_STATUS=OR","Sort=A","Dates=H","DateFormat=P","Fill=—","Direction=H","UseDPDF=Y")</f>
        <v>-0.25</v>
      </c>
      <c r="K16" s="14">
        <f>_xll.BDH("AMZN US Equity","IS_BASIC_EPS_CONT_OPS","FQ1 2001","FQ1 2001","Currency=USD","Period=FQ","BEST_FPERIOD_OVERRIDE=FQ","FILING_STATUS=OR","Sort=A","Dates=H","DateFormat=P","Fill=—","Direction=H","UseDPDF=Y")</f>
        <v>-0.21</v>
      </c>
      <c r="L16" s="14">
        <f>_xll.BDH("AMZN US Equity","IS_BASIC_EPS_CONT_OPS","FQ2 2001","FQ2 2001","Currency=USD","Period=FQ","BEST_FPERIOD_OVERRIDE=FQ","FILING_STATUS=OR","Sort=A","Dates=H","DateFormat=P","Fill=—","Direction=H","UseDPDF=Y")</f>
        <v>-0.16</v>
      </c>
      <c r="M16" s="14">
        <f>_xll.BDH("AMZN US Equity","IS_BASIC_EPS_CONT_OPS","FQ3 2001","FQ3 2001","Currency=USD","Period=FQ","BEST_FPERIOD_OVERRIDE=FQ","FILING_STATUS=OR","Sort=A","Dates=H","DateFormat=P","Fill=—","Direction=H","UseDPDF=Y")</f>
        <v>-0.46</v>
      </c>
      <c r="N16" s="14">
        <f>_xll.BDH("AMZN US Equity","IS_BASIC_EPS_CONT_OPS","FQ4 2001","FQ4 2001","Currency=USD","Period=FQ","BEST_FPERIOD_OVERRIDE=FQ","FILING_STATUS=OR","Sort=A","Dates=H","DateFormat=P","Fill=—","Direction=H","UseDPDF=Y")</f>
        <v>0.09</v>
      </c>
      <c r="O16" s="14">
        <f>_xll.BDH("AMZN US Equity","IS_BASIC_EPS_CONT_OPS","FQ1 2002","FQ1 2002","Currency=USD","Period=FQ","BEST_FPERIOD_OVERRIDE=FQ","FILING_STATUS=OR","Sort=A","Dates=H","DateFormat=P","Fill=—","Direction=H","UseDPDF=Y")</f>
        <v>-0.01</v>
      </c>
      <c r="P16" s="14">
        <f>_xll.BDH("AMZN US Equity","IS_BASIC_EPS_CONT_OPS","FQ2 2002","FQ2 2002","Currency=USD","Period=FQ","BEST_FPERIOD_OVERRIDE=FQ","FILING_STATUS=OR","Sort=A","Dates=H","DateFormat=P","Fill=—","Direction=H","UseDPDF=Y")</f>
        <v>-0.01</v>
      </c>
      <c r="Q16" s="14">
        <f>_xll.BDH("AMZN US Equity","IS_BASIC_EPS_CONT_OPS","FQ3 2002","FQ3 2002","Currency=USD","Period=FQ","BEST_FPERIOD_OVERRIDE=FQ","FILING_STATUS=OR","Sort=A","Dates=H","DateFormat=P","Fill=—","Direction=H","UseDPDF=Y")</f>
        <v>0</v>
      </c>
      <c r="R16" s="14">
        <f>_xll.BDH("AMZN US Equity","IS_BASIC_EPS_CONT_OPS","FQ4 2002","FQ4 2002","Currency=USD","Period=FQ","BEST_FPERIOD_OVERRIDE=FQ","FILING_STATUS=OR","Sort=A","Dates=H","DateFormat=P","Fill=—","Direction=H","UseDPDF=Y")</f>
        <v>0.2</v>
      </c>
      <c r="S16" s="14">
        <f>_xll.BDH("AMZN US Equity","IS_BASIC_EPS_CONT_OPS","FQ1 2003","FQ1 2003","Currency=USD","Period=FQ","BEST_FPERIOD_OVERRIDE=FQ","FILING_STATUS=OR","Sort=A","Dates=H","DateFormat=P","Fill=—","Direction=H","UseDPDF=Y")</f>
        <v>0.1</v>
      </c>
      <c r="T16" s="14">
        <f>_xll.BDH("AMZN US Equity","IS_BASIC_EPS_CONT_OPS","FQ2 2003","FQ2 2003","Currency=USD","Period=FQ","BEST_FPERIOD_OVERRIDE=FQ","FILING_STATUS=OR","Sort=A","Dates=H","DateFormat=P","Fill=—","Direction=H","UseDPDF=Y")</f>
        <v>0.11</v>
      </c>
      <c r="U16" s="14">
        <f>_xll.BDH("AMZN US Equity","IS_BASIC_EPS_CONT_OPS","FQ3 2003","FQ3 2003","Currency=USD","Period=FQ","BEST_FPERIOD_OVERRIDE=FQ","FILING_STATUS=OR","Sort=A","Dates=H","DateFormat=P","Fill=—","Direction=H","UseDPDF=Y")</f>
        <v>0.12</v>
      </c>
      <c r="V16" s="14">
        <f>_xll.BDH("AMZN US Equity","IS_BASIC_EPS_CONT_OPS","FQ4 2003","FQ4 2003","Currency=USD","Period=FQ","BEST_FPERIOD_OVERRIDE=FQ","FILING_STATUS=OR","Sort=A","Dates=H","DateFormat=P","Fill=—","Direction=H","UseDPDF=Y")</f>
        <v>0.31</v>
      </c>
      <c r="W16" s="14">
        <f>_xll.BDH("AMZN US Equity","IS_BASIC_EPS_CONT_OPS","FQ1 2004","FQ1 2004","Currency=USD","Period=FQ","BEST_FPERIOD_OVERRIDE=FQ","FILING_STATUS=OR","Sort=A","Dates=H","DateFormat=P","Fill=—","Direction=H","UseDPDF=Y")</f>
        <v>0.24</v>
      </c>
      <c r="X16" s="14">
        <f>_xll.BDH("AMZN US Equity","IS_BASIC_EPS_CONT_OPS","FQ2 2004","FQ2 2004","Currency=USD","Period=FQ","BEST_FPERIOD_OVERRIDE=FQ","FILING_STATUS=OR","Sort=A","Dates=H","DateFormat=P","Fill=—","Direction=H","UseDPDF=Y")</f>
        <v>0.18</v>
      </c>
      <c r="Y16" s="14">
        <f>_xll.BDH("AMZN US Equity","IS_BASIC_EPS_CONT_OPS","FQ3 2004","FQ3 2004","Currency=USD","Period=FQ","BEST_FPERIOD_OVERRIDE=FQ","FILING_STATUS=OR","Sort=A","Dates=H","DateFormat=P","Fill=—","Direction=H","UseDPDF=Y")</f>
        <v>0.18</v>
      </c>
      <c r="Z16" s="14">
        <f>_xll.BDH("AMZN US Equity","IS_BASIC_EPS_CONT_OPS","FQ4 2004","FQ4 2004","Currency=USD","Period=FQ","BEST_FPERIOD_OVERRIDE=FQ","FILING_STATUS=OR","Sort=A","Dates=H","DateFormat=P","Fill=—","Direction=H","UseDPDF=Y")</f>
        <v>0.36</v>
      </c>
      <c r="AA16" s="14">
        <f>_xll.BDH("AMZN US Equity","IS_BASIC_EPS_CONT_OPS","FQ1 2005","FQ1 2005","Currency=USD","Period=FQ","BEST_FPERIOD_OVERRIDE=FQ","FILING_STATUS=OR","Sort=A","Dates=H","DateFormat=P","Fill=—","Direction=H","UseDPDF=Y")</f>
        <v>0.13</v>
      </c>
      <c r="AB16" s="14">
        <f>_xll.BDH("AMZN US Equity","IS_BASIC_EPS_CONT_OPS","FQ2 2005","FQ2 2005","Currency=USD","Period=FQ","BEST_FPERIOD_OVERRIDE=FQ","FILING_STATUS=OR","Sort=A","Dates=H","DateFormat=P","Fill=—","Direction=H","UseDPDF=Y")</f>
        <v>0.13</v>
      </c>
      <c r="AC16" s="14">
        <f>_xll.BDH("AMZN US Equity","IS_BASIC_EPS_CONT_OPS","FQ3 2005","FQ3 2005","Currency=USD","Period=FQ","BEST_FPERIOD_OVERRIDE=FQ","FILING_STATUS=OR","Sort=A","Dates=H","DateFormat=P","Fill=—","Direction=H","UseDPDF=Y")</f>
        <v>0.13</v>
      </c>
      <c r="AD16" s="14">
        <f>_xll.BDH("AMZN US Equity","IS_BASIC_EPS_CONT_OPS","FQ4 2005","FQ4 2005","Currency=USD","Period=FQ","BEST_FPERIOD_OVERRIDE=FQ","FILING_STATUS=OR","Sort=A","Dates=H","DateFormat=P","Fill=—","Direction=H","UseDPDF=Y")</f>
        <v>0.26</v>
      </c>
      <c r="AE16" s="14">
        <f>_xll.BDH("AMZN US Equity","IS_BASIC_EPS_CONT_OPS","FQ1 2006","FQ1 2006","Currency=USD","Period=FQ","BEST_FPERIOD_OVERRIDE=FQ","FILING_STATUS=OR","Sort=A","Dates=H","DateFormat=P","Fill=—","Direction=H","UseDPDF=Y")</f>
        <v>0.12</v>
      </c>
      <c r="AF16" s="14">
        <f>_xll.BDH("AMZN US Equity","IS_BASIC_EPS_CONT_OPS","FQ2 2006","FQ2 2006","Currency=USD","Period=FQ","BEST_FPERIOD_OVERRIDE=FQ","FILING_STATUS=OR","Sort=A","Dates=H","DateFormat=P","Fill=—","Direction=H","UseDPDF=Y")</f>
        <v>0.05</v>
      </c>
      <c r="AG16" s="14">
        <f>_xll.BDH("AMZN US Equity","IS_BASIC_EPS_CONT_OPS","FQ3 2006","FQ3 2006","Currency=USD","Period=FQ","BEST_FPERIOD_OVERRIDE=FQ","FILING_STATUS=OR","Sort=A","Dates=H","DateFormat=P","Fill=—","Direction=H","UseDPDF=Y")</f>
        <v>0.05</v>
      </c>
      <c r="AH16" s="14">
        <f>_xll.BDH("AMZN US Equity","IS_BASIC_EPS_CONT_OPS","FQ4 2006","FQ4 2006","Currency=USD","Period=FQ","BEST_FPERIOD_OVERRIDE=FQ","FILING_STATUS=OR","Sort=A","Dates=H","DateFormat=P","Fill=—","Direction=H","UseDPDF=Y")</f>
        <v>0.24</v>
      </c>
      <c r="AI16" s="14">
        <f>_xll.BDH("AMZN US Equity","IS_BASIC_EPS_CONT_OPS","FQ1 2007","FQ1 2007","Currency=USD","Period=FQ","BEST_FPERIOD_OVERRIDE=FQ","FILING_STATUS=OR","Sort=A","Dates=H","DateFormat=P","Fill=—","Direction=H","UseDPDF=Y")</f>
        <v>0.27</v>
      </c>
      <c r="AJ16" s="14">
        <f>_xll.BDH("AMZN US Equity","IS_BASIC_EPS_CONT_OPS","FQ2 2007","FQ2 2007","Currency=USD","Period=FQ","BEST_FPERIOD_OVERRIDE=FQ","FILING_STATUS=OR","Sort=A","Dates=H","DateFormat=P","Fill=—","Direction=H","UseDPDF=Y")</f>
        <v>0.19</v>
      </c>
      <c r="AK16" s="14">
        <f>_xll.BDH("AMZN US Equity","IS_BASIC_EPS_CONT_OPS","FQ3 2007","FQ3 2007","Currency=USD","Period=FQ","BEST_FPERIOD_OVERRIDE=FQ","FILING_STATUS=OR","Sort=A","Dates=H","DateFormat=P","Fill=—","Direction=H","UseDPDF=Y")</f>
        <v>0.19</v>
      </c>
      <c r="AL16" s="14">
        <f>_xll.BDH("AMZN US Equity","IS_BASIC_EPS_CONT_OPS","FQ4 2007","FQ4 2007","Currency=USD","Period=FQ","BEST_FPERIOD_OVERRIDE=FQ","FILING_STATUS=OR","Sort=A","Dates=H","DateFormat=P","Fill=—","Direction=H","UseDPDF=Y")</f>
        <v>0.5</v>
      </c>
      <c r="AM16" s="14">
        <f>_xll.BDH("AMZN US Equity","IS_BASIC_EPS_CONT_OPS","FQ1 2008","FQ1 2008","Currency=USD","Period=FQ","BEST_FPERIOD_OVERRIDE=FQ","FILING_STATUS=OR","Sort=A","Dates=H","DateFormat=P","Fill=—","Direction=H","UseDPDF=Y")</f>
        <v>0.34</v>
      </c>
      <c r="AN16" s="14">
        <f>_xll.BDH("AMZN US Equity","IS_BASIC_EPS_CONT_OPS","FQ2 2008","FQ2 2008","Currency=USD","Period=FQ","BEST_FPERIOD_OVERRIDE=FQ","FILING_STATUS=OR","Sort=A","Dates=H","DateFormat=P","Fill=—","Direction=H","UseDPDF=Y")</f>
        <v>0.28000000000000003</v>
      </c>
      <c r="AO16" s="14">
        <f>_xll.BDH("AMZN US Equity","IS_BASIC_EPS_CONT_OPS","FQ3 2008","FQ3 2008","Currency=USD","Period=FQ","BEST_FPERIOD_OVERRIDE=FQ","FILING_STATUS=OR","Sort=A","Dates=H","DateFormat=P","Fill=—","Direction=H","UseDPDF=Y")</f>
        <v>0.28000000000000003</v>
      </c>
      <c r="AP16" s="14">
        <f>_xll.BDH("AMZN US Equity","IS_BASIC_EPS_CONT_OPS","FQ4 2008","FQ4 2008","Currency=USD","Period=FQ","BEST_FPERIOD_OVERRIDE=FQ","FILING_STATUS=OR","Sort=A","Dates=H","DateFormat=P","Fill=—","Direction=H","UseDPDF=Y")</f>
        <v>0.52</v>
      </c>
    </row>
    <row r="17" spans="1:42" x14ac:dyDescent="0.25">
      <c r="A17" s="10" t="s">
        <v>385</v>
      </c>
      <c r="B17" s="10" t="s">
        <v>146</v>
      </c>
      <c r="C17" s="14">
        <f>_xll.BDH("AMZN US Equity","IS_DILUTED_EPS","FQ4 1998","FQ4 1998","Currency=USD","Period=FQ","BEST_FPERIOD_OVERRIDE=FQ","FILING_STATUS=OR","FA_ADJUSTED=GAAP","Sort=A","Dates=H","DateFormat=P","Fill=—","Direction=H","UseDPDF=Y")</f>
        <v>-0.15</v>
      </c>
      <c r="D17" s="14">
        <f>_xll.BDH("AMZN US Equity","IS_DILUTED_EPS","FQ1 1999","FQ1 1999","Currency=USD","Period=FQ","BEST_FPERIOD_OVERRIDE=FQ","FILING_STATUS=OR","FA_ADJUSTED=GAAP","Sort=A","Dates=H","DateFormat=P","Fill=—","Direction=H","UseDPDF=Y")</f>
        <v>-0.2</v>
      </c>
      <c r="E17" s="14">
        <f>_xll.BDH("AMZN US Equity","IS_DILUTED_EPS","FQ2 1999","FQ2 1999","Currency=USD","Period=FQ","BEST_FPERIOD_OVERRIDE=FQ","FILING_STATUS=OR","FA_ADJUSTED=GAAP","Sort=A","Dates=H","DateFormat=P","Fill=—","Direction=H","UseDPDF=Y")</f>
        <v>-0.43</v>
      </c>
      <c r="F17" s="14">
        <f>_xll.BDH("AMZN US Equity","IS_DILUTED_EPS","FQ3 1999","FQ3 1999","Currency=USD","Period=FQ","BEST_FPERIOD_OVERRIDE=FQ","FILING_STATUS=OR","FA_ADJUSTED=GAAP","Sort=A","Dates=H","DateFormat=P","Fill=—","Direction=H","UseDPDF=Y")</f>
        <v>-0.59</v>
      </c>
      <c r="G17" s="14">
        <f>_xll.BDH("AMZN US Equity","IS_DILUTED_EPS","FQ4 1999","FQ4 1999","Currency=USD","Period=FQ","BEST_FPERIOD_OVERRIDE=FQ","FILING_STATUS=OR","FA_ADJUSTED=GAAP","Sort=A","Dates=H","DateFormat=P","Fill=—","Direction=H","UseDPDF=Y")</f>
        <v>-0.96</v>
      </c>
      <c r="H17" s="14">
        <f>_xll.BDH("AMZN US Equity","IS_DILUTED_EPS","FQ1 2000","FQ1 2000","Currency=USD","Period=FQ","BEST_FPERIOD_OVERRIDE=FQ","FILING_STATUS=OR","FA_ADJUSTED=GAAP","Sort=A","Dates=H","DateFormat=P","Fill=—","Direction=H","UseDPDF=Y")</f>
        <v>-0.9</v>
      </c>
      <c r="I17" s="14">
        <f>_xll.BDH("AMZN US Equity","IS_DILUTED_EPS","FQ3 2000","FQ3 2000","Currency=USD","Period=FQ","BEST_FPERIOD_OVERRIDE=FQ","FILING_STATUS=OR","FA_ADJUSTED=GAAP","Sort=A","Dates=H","DateFormat=P","Fill=—","Direction=H","UseDPDF=Y")</f>
        <v>-0.68</v>
      </c>
      <c r="J17" s="14">
        <f>_xll.BDH("AMZN US Equity","IS_DILUTED_EPS","FQ4 2000","FQ4 2000","Currency=USD","Period=FQ","BEST_FPERIOD_OVERRIDE=FQ","FILING_STATUS=OR","FA_ADJUSTED=GAAP","Sort=A","Dates=H","DateFormat=P","Fill=—","Direction=H","UseDPDF=Y")</f>
        <v>-1.53</v>
      </c>
      <c r="K17" s="14">
        <f>_xll.BDH("AMZN US Equity","IS_DILUTED_EPS","FQ1 2001","FQ1 2001","Currency=USD","Period=FQ","BEST_FPERIOD_OVERRIDE=FQ","FILING_STATUS=OR","FA_ADJUSTED=GAAP","Sort=A","Dates=H","DateFormat=P","Fill=—","Direction=H","UseDPDF=Y")</f>
        <v>-0.66</v>
      </c>
      <c r="L17" s="14">
        <f>_xll.BDH("AMZN US Equity","IS_DILUTED_EPS","FQ2 2001","FQ2 2001","Currency=USD","Period=FQ","BEST_FPERIOD_OVERRIDE=FQ","FILING_STATUS=OR","FA_ADJUSTED=GAAP","Sort=A","Dates=H","DateFormat=P","Fill=—","Direction=H","UseDPDF=Y")</f>
        <v>-0.47</v>
      </c>
      <c r="M17" s="14">
        <f>_xll.BDH("AMZN US Equity","IS_DILUTED_EPS","FQ3 2001","FQ3 2001","Currency=USD","Period=FQ","BEST_FPERIOD_OVERRIDE=FQ","FILING_STATUS=OR","FA_ADJUSTED=GAAP","Sort=A","Dates=H","DateFormat=P","Fill=—","Direction=H","UseDPDF=Y")</f>
        <v>-0.46</v>
      </c>
      <c r="N17" s="14">
        <f>_xll.BDH("AMZN US Equity","IS_DILUTED_EPS","FQ4 2001","FQ4 2001","Currency=USD","Period=FQ","BEST_FPERIOD_OVERRIDE=FQ","FILING_STATUS=OR","FA_ADJUSTED=GAAP","Sort=A","Dates=H","DateFormat=P","Fill=—","Direction=H","UseDPDF=Y")</f>
        <v>0.01</v>
      </c>
      <c r="O17" s="14">
        <f>_xll.BDH("AMZN US Equity","IS_DILUTED_EPS","FQ1 2002","FQ1 2002","Currency=USD","Period=FQ","BEST_FPERIOD_OVERRIDE=FQ","FILING_STATUS=OR","FA_ADJUSTED=GAAP","Sort=A","Dates=H","DateFormat=P","Fill=—","Direction=H","UseDPDF=Y")</f>
        <v>-0.06</v>
      </c>
      <c r="P17" s="14">
        <f>_xll.BDH("AMZN US Equity","IS_DILUTED_EPS","FQ2 2002","FQ2 2002","Currency=USD","Period=FQ","BEST_FPERIOD_OVERRIDE=FQ","FILING_STATUS=OR","FA_ADJUSTED=GAAP","Sort=A","Dates=H","DateFormat=P","Fill=—","Direction=H","UseDPDF=Y")</f>
        <v>-0.25</v>
      </c>
      <c r="Q17" s="14">
        <f>_xll.BDH("AMZN US Equity","IS_DILUTED_EPS","FQ3 2002","FQ3 2002","Currency=USD","Period=FQ","BEST_FPERIOD_OVERRIDE=FQ","FILING_STATUS=OR","FA_ADJUSTED=GAAP","Sort=A","Dates=H","DateFormat=P","Fill=—","Direction=H","UseDPDF=Y")</f>
        <v>-0.09</v>
      </c>
      <c r="R17" s="14">
        <f>_xll.BDH("AMZN US Equity","IS_DILUTED_EPS","FQ4 2002","FQ4 2002","Currency=USD","Period=FQ","BEST_FPERIOD_OVERRIDE=FQ","FILING_STATUS=OR","FA_ADJUSTED=GAAP","Sort=A","Dates=H","DateFormat=P","Fill=—","Direction=H","UseDPDF=Y")</f>
        <v>0.01</v>
      </c>
      <c r="S17" s="14">
        <f>_xll.BDH("AMZN US Equity","IS_DILUTED_EPS","FQ1 2003","FQ1 2003","Currency=USD","Period=FQ","BEST_FPERIOD_OVERRIDE=FQ","FILING_STATUS=OR","FA_ADJUSTED=GAAP","Sort=A","Dates=H","DateFormat=P","Fill=—","Direction=H","UseDPDF=Y")</f>
        <v>-0.03</v>
      </c>
      <c r="T17" s="14">
        <f>_xll.BDH("AMZN US Equity","IS_DILUTED_EPS","FQ2 2003","FQ2 2003","Currency=USD","Period=FQ","BEST_FPERIOD_OVERRIDE=FQ","FILING_STATUS=OR","FA_ADJUSTED=GAAP","Sort=A","Dates=H","DateFormat=P","Fill=—","Direction=H","UseDPDF=Y")</f>
        <v>-0.11</v>
      </c>
      <c r="U17" s="14">
        <f>_xll.BDH("AMZN US Equity","IS_DILUTED_EPS","FQ3 2003","FQ3 2003","Currency=USD","Period=FQ","BEST_FPERIOD_OVERRIDE=FQ","FILING_STATUS=OR","FA_ADJUSTED=GAAP","Sort=A","Dates=H","DateFormat=P","Fill=—","Direction=H","UseDPDF=Y")</f>
        <v>0.04</v>
      </c>
      <c r="V17" s="14">
        <f>_xll.BDH("AMZN US Equity","IS_DILUTED_EPS","FQ4 2003","FQ4 2003","Currency=USD","Period=FQ","BEST_FPERIOD_OVERRIDE=FQ","FILING_STATUS=OR","FA_ADJUSTED=GAAP","Sort=A","Dates=H","DateFormat=P","Fill=—","Direction=H","UseDPDF=Y")</f>
        <v>0.17</v>
      </c>
      <c r="W17" s="14">
        <f>_xll.BDH("AMZN US Equity","IS_DILUTED_EPS","FQ1 2004","FQ1 2004","Currency=USD","Period=FQ","BEST_FPERIOD_OVERRIDE=FQ","FILING_STATUS=OR","FA_ADJUSTED=GAAP","Sort=A","Dates=H","DateFormat=P","Fill=—","Direction=H","UseDPDF=Y")</f>
        <v>0.26</v>
      </c>
      <c r="X17" s="14">
        <f>_xll.BDH("AMZN US Equity","IS_DILUTED_EPS","FQ2 2004","FQ2 2004","Currency=USD","Period=FQ","BEST_FPERIOD_OVERRIDE=FQ","FILING_STATUS=OR","FA_ADJUSTED=GAAP","Sort=A","Dates=H","DateFormat=P","Fill=—","Direction=H","UseDPDF=Y")</f>
        <v>0.18</v>
      </c>
      <c r="Y17" s="14">
        <f>_xll.BDH("AMZN US Equity","IS_DILUTED_EPS","FQ3 2004","FQ3 2004","Currency=USD","Period=FQ","BEST_FPERIOD_OVERRIDE=FQ","FILING_STATUS=OR","FA_ADJUSTED=GAAP","Sort=A","Dates=H","DateFormat=P","Fill=—","Direction=H","UseDPDF=Y")</f>
        <v>0.13</v>
      </c>
      <c r="Z17" s="14">
        <f>_xll.BDH("AMZN US Equity","IS_DILUTED_EPS","FQ4 2004","FQ4 2004","Currency=USD","Period=FQ","BEST_FPERIOD_OVERRIDE=FQ","FILING_STATUS=OR","FA_ADJUSTED=GAAP","Sort=A","Dates=H","DateFormat=P","Fill=—","Direction=H","UseDPDF=Y")</f>
        <v>0.82</v>
      </c>
      <c r="AA17" s="14">
        <f>_xll.BDH("AMZN US Equity","IS_DILUTED_EPS","FQ1 2005","FQ1 2005","Currency=USD","Period=FQ","BEST_FPERIOD_OVERRIDE=FQ","FILING_STATUS=OR","FA_ADJUSTED=GAAP","Sort=A","Dates=H","DateFormat=P","Fill=—","Direction=H","UseDPDF=Y")</f>
        <v>0.18</v>
      </c>
      <c r="AB17" s="14">
        <f>_xll.BDH("AMZN US Equity","IS_DILUTED_EPS","FQ2 2005","FQ2 2005","Currency=USD","Period=FQ","BEST_FPERIOD_OVERRIDE=FQ","FILING_STATUS=OR","FA_ADJUSTED=GAAP","Sort=A","Dates=H","DateFormat=P","Fill=—","Direction=H","UseDPDF=Y")</f>
        <v>0.12</v>
      </c>
      <c r="AC17" s="14">
        <f>_xll.BDH("AMZN US Equity","IS_DILUTED_EPS","FQ3 2005","FQ3 2005","Currency=USD","Period=FQ","BEST_FPERIOD_OVERRIDE=FQ","FILING_STATUS=OR","FA_ADJUSTED=GAAP","Sort=A","Dates=H","DateFormat=P","Fill=—","Direction=H","UseDPDF=Y")</f>
        <v>7.0000000000000007E-2</v>
      </c>
      <c r="AD17" s="14">
        <f>_xll.BDH("AMZN US Equity","IS_DILUTED_EPS","FQ4 2005","FQ4 2005","Currency=USD","Period=FQ","BEST_FPERIOD_OVERRIDE=FQ","FILING_STATUS=OR","FA_ADJUSTED=GAAP","Sort=A","Dates=H","DateFormat=P","Fill=—","Direction=H","UseDPDF=Y")</f>
        <v>0.47</v>
      </c>
      <c r="AE17" s="14">
        <f>_xll.BDH("AMZN US Equity","IS_DILUTED_EPS","FQ1 2006","FQ1 2006","Currency=USD","Period=FQ","BEST_FPERIOD_OVERRIDE=FQ","FILING_STATUS=OR","FA_ADJUSTED=GAAP","Sort=A","Dates=H","DateFormat=P","Fill=—","Direction=H","UseDPDF=Y")</f>
        <v>0.12</v>
      </c>
      <c r="AF17" s="14">
        <f>_xll.BDH("AMZN US Equity","IS_DILUTED_EPS","FQ2 2006","FQ2 2006","Currency=USD","Period=FQ","BEST_FPERIOD_OVERRIDE=FQ","FILING_STATUS=OR","FA_ADJUSTED=GAAP","Sort=A","Dates=H","DateFormat=P","Fill=—","Direction=H","UseDPDF=Y")</f>
        <v>0.05</v>
      </c>
      <c r="AG17" s="14">
        <f>_xll.BDH("AMZN US Equity","IS_DILUTED_EPS","FQ3 2006","FQ3 2006","Currency=USD","Period=FQ","BEST_FPERIOD_OVERRIDE=FQ","FILING_STATUS=OR","FA_ADJUSTED=GAAP","Sort=A","Dates=H","DateFormat=P","Fill=—","Direction=H","UseDPDF=Y")</f>
        <v>0.05</v>
      </c>
      <c r="AH17" s="14">
        <f>_xll.BDH("AMZN US Equity","IS_DILUTED_EPS","FQ4 2006","FQ4 2006","Currency=USD","Period=FQ","BEST_FPERIOD_OVERRIDE=FQ","FILING_STATUS=OR","FA_ADJUSTED=GAAP","Sort=A","Dates=H","DateFormat=P","Fill=—","Direction=H","UseDPDF=Y")</f>
        <v>0.23</v>
      </c>
      <c r="AI17" s="14">
        <f>_xll.BDH("AMZN US Equity","IS_DILUTED_EPS","FQ1 2007","FQ1 2007","Currency=USD","Period=FQ","BEST_FPERIOD_OVERRIDE=FQ","FILING_STATUS=OR","FA_ADJUSTED=GAAP","Sort=A","Dates=H","DateFormat=P","Fill=—","Direction=H","UseDPDF=Y")</f>
        <v>0.26</v>
      </c>
      <c r="AJ17" s="14">
        <f>_xll.BDH("AMZN US Equity","IS_DILUTED_EPS","FQ2 2007","FQ2 2007","Currency=USD","Period=FQ","BEST_FPERIOD_OVERRIDE=FQ","FILING_STATUS=OR","FA_ADJUSTED=GAAP","Sort=A","Dates=H","DateFormat=P","Fill=—","Direction=H","UseDPDF=Y")</f>
        <v>0.19</v>
      </c>
      <c r="AK17" s="14">
        <f>_xll.BDH("AMZN US Equity","IS_DILUTED_EPS","FQ3 2007","FQ3 2007","Currency=USD","Period=FQ","BEST_FPERIOD_OVERRIDE=FQ","FILING_STATUS=OR","FA_ADJUSTED=GAAP","Sort=A","Dates=H","DateFormat=P","Fill=—","Direction=H","UseDPDF=Y")</f>
        <v>0.19</v>
      </c>
      <c r="AL17" s="14">
        <f>_xll.BDH("AMZN US Equity","IS_DILUTED_EPS","FQ4 2007","FQ4 2007","Currency=USD","Period=FQ","BEST_FPERIOD_OVERRIDE=FQ","FILING_STATUS=OR","FA_ADJUSTED=GAAP","Sort=A","Dates=H","DateFormat=P","Fill=—","Direction=H","UseDPDF=Y")</f>
        <v>0.48</v>
      </c>
      <c r="AM17" s="14">
        <f>_xll.BDH("AMZN US Equity","IS_DILUTED_EPS","FQ1 2008","FQ1 2008","Currency=USD","Period=FQ","BEST_FPERIOD_OVERRIDE=FQ","FILING_STATUS=OR","FA_ADJUSTED=GAAP","Sort=A","Dates=H","DateFormat=P","Fill=—","Direction=H","UseDPDF=Y")</f>
        <v>0.34</v>
      </c>
      <c r="AN17" s="14">
        <f>_xll.BDH("AMZN US Equity","IS_DILUTED_EPS","FQ2 2008","FQ2 2008","Currency=USD","Period=FQ","BEST_FPERIOD_OVERRIDE=FQ","FILING_STATUS=OR","FA_ADJUSTED=GAAP","Sort=A","Dates=H","DateFormat=P","Fill=—","Direction=H","UseDPDF=Y")</f>
        <v>0.37</v>
      </c>
      <c r="AO17" s="14">
        <f>_xll.BDH("AMZN US Equity","IS_DILUTED_EPS","FQ3 2008","FQ3 2008","Currency=USD","Period=FQ","BEST_FPERIOD_OVERRIDE=FQ","FILING_STATUS=OR","FA_ADJUSTED=GAAP","Sort=A","Dates=H","DateFormat=P","Fill=—","Direction=H","UseDPDF=Y")</f>
        <v>0.27</v>
      </c>
      <c r="AP17" s="14">
        <f>_xll.BDH("AMZN US Equity","IS_DILUTED_EPS","FQ4 2008","FQ4 2008","Currency=USD","Period=FQ","BEST_FPERIOD_OVERRIDE=FQ","FILING_STATUS=OR","FA_ADJUSTED=GAAP","Sort=A","Dates=H","DateFormat=P","Fill=—","Direction=H","UseDPDF=Y")</f>
        <v>0.52</v>
      </c>
    </row>
    <row r="18" spans="1:42" x14ac:dyDescent="0.25">
      <c r="A18" s="10" t="s">
        <v>386</v>
      </c>
      <c r="B18" s="10" t="s">
        <v>148</v>
      </c>
      <c r="C18" s="14">
        <f>_xll.BDH("AMZN US Equity","IS_DIL_EPS_BEF_XO","FQ4 1998","FQ4 1998","Currency=USD","Period=FQ","BEST_FPERIOD_OVERRIDE=FQ","FILING_STATUS=OR","Sort=A","Dates=H","DateFormat=P","Fill=—","Direction=H","UseDPDF=Y")</f>
        <v>-0.15</v>
      </c>
      <c r="D18" s="14">
        <f>_xll.BDH("AMZN US Equity","IS_DIL_EPS_BEF_XO","FQ1 1999","FQ1 1999","Currency=USD","Period=FQ","BEST_FPERIOD_OVERRIDE=FQ","FILING_STATUS=OR","Sort=A","Dates=H","DateFormat=P","Fill=—","Direction=H","UseDPDF=Y")</f>
        <v>-0.2</v>
      </c>
      <c r="E18" s="14">
        <f>_xll.BDH("AMZN US Equity","IS_DIL_EPS_BEF_XO","FQ2 1999","FQ2 1999","Currency=USD","Period=FQ","BEST_FPERIOD_OVERRIDE=FQ","FILING_STATUS=OR","Sort=A","Dates=H","DateFormat=P","Fill=—","Direction=H","UseDPDF=Y")</f>
        <v>-0.43</v>
      </c>
      <c r="F18" s="14">
        <f>_xll.BDH("AMZN US Equity","IS_DIL_EPS_BEF_XO","FQ3 1999","FQ3 1999","Currency=USD","Period=FQ","BEST_FPERIOD_OVERRIDE=FQ","FILING_STATUS=OR","Sort=A","Dates=H","DateFormat=P","Fill=—","Direction=H","UseDPDF=Y")</f>
        <v>-0.59</v>
      </c>
      <c r="G18" s="14">
        <f>_xll.BDH("AMZN US Equity","IS_DIL_EPS_BEF_XO","FQ4 1999","FQ4 1999","Currency=USD","Period=FQ","BEST_FPERIOD_OVERRIDE=FQ","FILING_STATUS=OR","Sort=A","Dates=H","DateFormat=P","Fill=—","Direction=H","UseDPDF=Y")</f>
        <v>-0.96</v>
      </c>
      <c r="H18" s="14">
        <f>_xll.BDH("AMZN US Equity","IS_DIL_EPS_BEF_XO","FQ1 2000","FQ1 2000","Currency=USD","Period=FQ","BEST_FPERIOD_OVERRIDE=FQ","FILING_STATUS=OR","Sort=A","Dates=H","DateFormat=P","Fill=—","Direction=H","UseDPDF=Y")</f>
        <v>-0.9</v>
      </c>
      <c r="I18" s="14">
        <f>_xll.BDH("AMZN US Equity","IS_DIL_EPS_BEF_XO","FQ3 2000","FQ3 2000","Currency=USD","Period=FQ","BEST_FPERIOD_OVERRIDE=FQ","FILING_STATUS=OR","Sort=A","Dates=H","DateFormat=P","Fill=—","Direction=H","UseDPDF=Y")</f>
        <v>-0.68</v>
      </c>
      <c r="J18" s="14">
        <f>_xll.BDH("AMZN US Equity","IS_DIL_EPS_BEF_XO","FQ4 2000","FQ4 2000","Currency=USD","Period=FQ","BEST_FPERIOD_OVERRIDE=FQ","FILING_STATUS=OR","Sort=A","Dates=H","DateFormat=P","Fill=—","Direction=H","UseDPDF=Y")</f>
        <v>-1.53</v>
      </c>
      <c r="K18" s="14">
        <f>_xll.BDH("AMZN US Equity","IS_DIL_EPS_BEF_XO","FQ1 2001","FQ1 2001","Currency=USD","Period=FQ","BEST_FPERIOD_OVERRIDE=FQ","FILING_STATUS=OR","Sort=A","Dates=H","DateFormat=P","Fill=—","Direction=H","UseDPDF=Y")</f>
        <v>-0.63</v>
      </c>
      <c r="L18" s="14">
        <f>_xll.BDH("AMZN US Equity","IS_DIL_EPS_BEF_XO","FQ2 2001","FQ2 2001","Currency=USD","Period=FQ","BEST_FPERIOD_OVERRIDE=FQ","FILING_STATUS=OR","Sort=A","Dates=H","DateFormat=P","Fill=—","Direction=H","UseDPDF=Y")</f>
        <v>-0.47</v>
      </c>
      <c r="M18" s="14">
        <f>_xll.BDH("AMZN US Equity","IS_DIL_EPS_BEF_XO","FQ3 2001","FQ3 2001","Currency=USD","Period=FQ","BEST_FPERIOD_OVERRIDE=FQ","FILING_STATUS=OR","Sort=A","Dates=H","DateFormat=P","Fill=—","Direction=H","UseDPDF=Y")</f>
        <v>-0.46</v>
      </c>
      <c r="N18" s="14">
        <f>_xll.BDH("AMZN US Equity","IS_DIL_EPS_BEF_XO","FQ4 2001","FQ4 2001","Currency=USD","Period=FQ","BEST_FPERIOD_OVERRIDE=FQ","FILING_STATUS=OR","Sort=A","Dates=H","DateFormat=P","Fill=—","Direction=H","UseDPDF=Y")</f>
        <v>0.01</v>
      </c>
      <c r="O18" s="14">
        <f>_xll.BDH("AMZN US Equity","IS_DIL_EPS_BEF_XO","FQ1 2002","FQ1 2002","Currency=USD","Period=FQ","BEST_FPERIOD_OVERRIDE=FQ","FILING_STATUS=OR","Sort=A","Dates=H","DateFormat=P","Fill=—","Direction=H","UseDPDF=Y")</f>
        <v>-0.06</v>
      </c>
      <c r="P18" s="14">
        <f>_xll.BDH("AMZN US Equity","IS_DIL_EPS_BEF_XO","FQ2 2002","FQ2 2002","Currency=USD","Period=FQ","BEST_FPERIOD_OVERRIDE=FQ","FILING_STATUS=OR","Sort=A","Dates=H","DateFormat=P","Fill=—","Direction=H","UseDPDF=Y")</f>
        <v>-0.25</v>
      </c>
      <c r="Q18" s="14">
        <f>_xll.BDH("AMZN US Equity","IS_DIL_EPS_BEF_XO","FQ3 2002","FQ3 2002","Currency=USD","Period=FQ","BEST_FPERIOD_OVERRIDE=FQ","FILING_STATUS=OR","Sort=A","Dates=H","DateFormat=P","Fill=—","Direction=H","UseDPDF=Y")</f>
        <v>-0.09</v>
      </c>
      <c r="R18" s="14">
        <f>_xll.BDH("AMZN US Equity","IS_DIL_EPS_BEF_XO","FQ4 2002","FQ4 2002","Currency=USD","Period=FQ","BEST_FPERIOD_OVERRIDE=FQ","FILING_STATUS=OR","Sort=A","Dates=H","DateFormat=P","Fill=—","Direction=H","UseDPDF=Y")</f>
        <v>0.01</v>
      </c>
      <c r="S18" s="14">
        <f>_xll.BDH("AMZN US Equity","IS_DIL_EPS_BEF_XO","FQ1 2003","FQ1 2003","Currency=USD","Period=FQ","BEST_FPERIOD_OVERRIDE=FQ","FILING_STATUS=OR","Sort=A","Dates=H","DateFormat=P","Fill=—","Direction=H","UseDPDF=Y")</f>
        <v>-0.03</v>
      </c>
      <c r="T18" s="14">
        <f>_xll.BDH("AMZN US Equity","IS_DIL_EPS_BEF_XO","FQ2 2003","FQ2 2003","Currency=USD","Period=FQ","BEST_FPERIOD_OVERRIDE=FQ","FILING_STATUS=OR","Sort=A","Dates=H","DateFormat=P","Fill=—","Direction=H","UseDPDF=Y")</f>
        <v>-0.11</v>
      </c>
      <c r="U18" s="14">
        <f>_xll.BDH("AMZN US Equity","IS_DIL_EPS_BEF_XO","FQ3 2003","FQ3 2003","Currency=USD","Period=FQ","BEST_FPERIOD_OVERRIDE=FQ","FILING_STATUS=OR","Sort=A","Dates=H","DateFormat=P","Fill=—","Direction=H","UseDPDF=Y")</f>
        <v>0.04</v>
      </c>
      <c r="V18" s="14">
        <f>_xll.BDH("AMZN US Equity","IS_DIL_EPS_BEF_XO","FQ4 2003","FQ4 2003","Currency=USD","Period=FQ","BEST_FPERIOD_OVERRIDE=FQ","FILING_STATUS=OR","Sort=A","Dates=H","DateFormat=P","Fill=—","Direction=H","UseDPDF=Y")</f>
        <v>0.17</v>
      </c>
      <c r="W18" s="14">
        <f>_xll.BDH("AMZN US Equity","IS_DIL_EPS_BEF_XO","FQ1 2004","FQ1 2004","Currency=USD","Period=FQ","BEST_FPERIOD_OVERRIDE=FQ","FILING_STATUS=OR","Sort=A","Dates=H","DateFormat=P","Fill=—","Direction=H","UseDPDF=Y")</f>
        <v>0.26</v>
      </c>
      <c r="X18" s="14">
        <f>_xll.BDH("AMZN US Equity","IS_DIL_EPS_BEF_XO","FQ2 2004","FQ2 2004","Currency=USD","Period=FQ","BEST_FPERIOD_OVERRIDE=FQ","FILING_STATUS=OR","Sort=A","Dates=H","DateFormat=P","Fill=—","Direction=H","UseDPDF=Y")</f>
        <v>0.18</v>
      </c>
      <c r="Y18" s="14">
        <f>_xll.BDH("AMZN US Equity","IS_DIL_EPS_BEF_XO","FQ3 2004","FQ3 2004","Currency=USD","Period=FQ","BEST_FPERIOD_OVERRIDE=FQ","FILING_STATUS=OR","Sort=A","Dates=H","DateFormat=P","Fill=—","Direction=H","UseDPDF=Y")</f>
        <v>0.13</v>
      </c>
      <c r="Z18" s="14">
        <f>_xll.BDH("AMZN US Equity","IS_DIL_EPS_BEF_XO","FQ4 2004","FQ4 2004","Currency=USD","Period=FQ","BEST_FPERIOD_OVERRIDE=FQ","FILING_STATUS=OR","Sort=A","Dates=H","DateFormat=P","Fill=—","Direction=H","UseDPDF=Y")</f>
        <v>0.82</v>
      </c>
      <c r="AA18" s="14">
        <f>_xll.BDH("AMZN US Equity","IS_DIL_EPS_BEF_XO","FQ1 2005","FQ1 2005","Currency=USD","Period=FQ","BEST_FPERIOD_OVERRIDE=FQ","FILING_STATUS=OR","Sort=A","Dates=H","DateFormat=P","Fill=—","Direction=H","UseDPDF=Y")</f>
        <v>0.12</v>
      </c>
      <c r="AB18" s="14">
        <f>_xll.BDH("AMZN US Equity","IS_DIL_EPS_BEF_XO","FQ2 2005","FQ2 2005","Currency=USD","Period=FQ","BEST_FPERIOD_OVERRIDE=FQ","FILING_STATUS=OR","Sort=A","Dates=H","DateFormat=P","Fill=—","Direction=H","UseDPDF=Y")</f>
        <v>0.12</v>
      </c>
      <c r="AC18" s="14">
        <f>_xll.BDH("AMZN US Equity","IS_DIL_EPS_BEF_XO","FQ3 2005","FQ3 2005","Currency=USD","Period=FQ","BEST_FPERIOD_OVERRIDE=FQ","FILING_STATUS=OR","Sort=A","Dates=H","DateFormat=P","Fill=—","Direction=H","UseDPDF=Y")</f>
        <v>7.0000000000000007E-2</v>
      </c>
      <c r="AD18" s="14">
        <f>_xll.BDH("AMZN US Equity","IS_DIL_EPS_BEF_XO","FQ4 2005","FQ4 2005","Currency=USD","Period=FQ","BEST_FPERIOD_OVERRIDE=FQ","FILING_STATUS=OR","Sort=A","Dates=H","DateFormat=P","Fill=—","Direction=H","UseDPDF=Y")</f>
        <v>0.47</v>
      </c>
      <c r="AE18" s="14">
        <f>_xll.BDH("AMZN US Equity","IS_DIL_EPS_BEF_XO","FQ1 2006","FQ1 2006","Currency=USD","Period=FQ","BEST_FPERIOD_OVERRIDE=FQ","FILING_STATUS=OR","Sort=A","Dates=H","DateFormat=P","Fill=—","Direction=H","UseDPDF=Y")</f>
        <v>0.12</v>
      </c>
      <c r="AF18" s="14">
        <f>_xll.BDH("AMZN US Equity","IS_DIL_EPS_BEF_XO","FQ2 2006","FQ2 2006","Currency=USD","Period=FQ","BEST_FPERIOD_OVERRIDE=FQ","FILING_STATUS=OR","Sort=A","Dates=H","DateFormat=P","Fill=—","Direction=H","UseDPDF=Y")</f>
        <v>0.05</v>
      </c>
      <c r="AG18" s="14">
        <f>_xll.BDH("AMZN US Equity","IS_DIL_EPS_BEF_XO","FQ3 2006","FQ3 2006","Currency=USD","Period=FQ","BEST_FPERIOD_OVERRIDE=FQ","FILING_STATUS=OR","Sort=A","Dates=H","DateFormat=P","Fill=—","Direction=H","UseDPDF=Y")</f>
        <v>0.05</v>
      </c>
      <c r="AH18" s="14">
        <f>_xll.BDH("AMZN US Equity","IS_DIL_EPS_BEF_XO","FQ4 2006","FQ4 2006","Currency=USD","Period=FQ","BEST_FPERIOD_OVERRIDE=FQ","FILING_STATUS=OR","Sort=A","Dates=H","DateFormat=P","Fill=—","Direction=H","UseDPDF=Y")</f>
        <v>0.23</v>
      </c>
      <c r="AI18" s="14">
        <f>_xll.BDH("AMZN US Equity","IS_DIL_EPS_BEF_XO","FQ1 2007","FQ1 2007","Currency=USD","Period=FQ","BEST_FPERIOD_OVERRIDE=FQ","FILING_STATUS=OR","Sort=A","Dates=H","DateFormat=P","Fill=—","Direction=H","UseDPDF=Y")</f>
        <v>0.26</v>
      </c>
      <c r="AJ18" s="14">
        <f>_xll.BDH("AMZN US Equity","IS_DIL_EPS_BEF_XO","FQ2 2007","FQ2 2007","Currency=USD","Period=FQ","BEST_FPERIOD_OVERRIDE=FQ","FILING_STATUS=OR","Sort=A","Dates=H","DateFormat=P","Fill=—","Direction=H","UseDPDF=Y")</f>
        <v>0.19</v>
      </c>
      <c r="AK18" s="14">
        <f>_xll.BDH("AMZN US Equity","IS_DIL_EPS_BEF_XO","FQ3 2007","FQ3 2007","Currency=USD","Period=FQ","BEST_FPERIOD_OVERRIDE=FQ","FILING_STATUS=OR","Sort=A","Dates=H","DateFormat=P","Fill=—","Direction=H","UseDPDF=Y")</f>
        <v>0.19</v>
      </c>
      <c r="AL18" s="14">
        <f>_xll.BDH("AMZN US Equity","IS_DIL_EPS_BEF_XO","FQ4 2007","FQ4 2007","Currency=USD","Period=FQ","BEST_FPERIOD_OVERRIDE=FQ","FILING_STATUS=OR","Sort=A","Dates=H","DateFormat=P","Fill=—","Direction=H","UseDPDF=Y")</f>
        <v>0.48</v>
      </c>
      <c r="AM18" s="14">
        <f>_xll.BDH("AMZN US Equity","IS_DIL_EPS_BEF_XO","FQ1 2008","FQ1 2008","Currency=USD","Period=FQ","BEST_FPERIOD_OVERRIDE=FQ","FILING_STATUS=OR","Sort=A","Dates=H","DateFormat=P","Fill=—","Direction=H","UseDPDF=Y")</f>
        <v>0.34</v>
      </c>
      <c r="AN18" s="14">
        <f>_xll.BDH("AMZN US Equity","IS_DIL_EPS_BEF_XO","FQ2 2008","FQ2 2008","Currency=USD","Period=FQ","BEST_FPERIOD_OVERRIDE=FQ","FILING_STATUS=OR","Sort=A","Dates=H","DateFormat=P","Fill=—","Direction=H","UseDPDF=Y")</f>
        <v>0.37</v>
      </c>
      <c r="AO18" s="14">
        <f>_xll.BDH("AMZN US Equity","IS_DIL_EPS_BEF_XO","FQ3 2008","FQ3 2008","Currency=USD","Period=FQ","BEST_FPERIOD_OVERRIDE=FQ","FILING_STATUS=OR","Sort=A","Dates=H","DateFormat=P","Fill=—","Direction=H","UseDPDF=Y")</f>
        <v>0.27</v>
      </c>
      <c r="AP18" s="14">
        <f>_xll.BDH("AMZN US Equity","IS_DIL_EPS_BEF_XO","FQ4 2008","FQ4 2008","Currency=USD","Period=FQ","BEST_FPERIOD_OVERRIDE=FQ","FILING_STATUS=OR","Sort=A","Dates=H","DateFormat=P","Fill=—","Direction=H","UseDPDF=Y")</f>
        <v>0.52</v>
      </c>
    </row>
    <row r="19" spans="1:42" x14ac:dyDescent="0.25">
      <c r="A19" s="10" t="s">
        <v>387</v>
      </c>
      <c r="B19" s="10" t="s">
        <v>150</v>
      </c>
      <c r="C19" s="14">
        <f>_xll.BDH("AMZN US Equity","IS_DIL_EPS_CONT_OPS","FQ4 1998","FQ4 1998","Currency=USD","Period=FQ","BEST_FPERIOD_OVERRIDE=FQ","FILING_STATUS=OR","Sort=A","Dates=H","DateFormat=P","Fill=—","Direction=H","UseDPDF=Y")</f>
        <v>-7.0000000000000007E-2</v>
      </c>
      <c r="D19" s="14">
        <f>_xll.BDH("AMZN US Equity","IS_DIL_EPS_CONT_OPS","FQ1 1999","FQ1 1999","Currency=USD","Period=FQ","BEST_FPERIOD_OVERRIDE=FQ","FILING_STATUS=OR","Sort=A","Dates=H","DateFormat=P","Fill=—","Direction=H","UseDPDF=Y")</f>
        <v>-0.115</v>
      </c>
      <c r="E19" s="14">
        <f>_xll.BDH("AMZN US Equity","IS_DIL_EPS_CONT_OPS","FQ2 1999","FQ2 1999","Currency=USD","Period=FQ","BEST_FPERIOD_OVERRIDE=FQ","FILING_STATUS=OR","Sort=A","Dates=H","DateFormat=P","Fill=—","Direction=H","UseDPDF=Y")</f>
        <v>-0.255</v>
      </c>
      <c r="F19" s="14">
        <f>_xll.BDH("AMZN US Equity","IS_DIL_EPS_CONT_OPS","FQ3 1999","FQ3 1999","Currency=USD","Period=FQ","BEST_FPERIOD_OVERRIDE=FQ","FILING_STATUS=OR","Sort=A","Dates=H","DateFormat=P","Fill=—","Direction=H","UseDPDF=Y")</f>
        <v>-0.26</v>
      </c>
      <c r="G19" s="14">
        <f>_xll.BDH("AMZN US Equity","IS_DIL_EPS_CONT_OPS","FQ4 1999","FQ4 1999","Currency=USD","Period=FQ","BEST_FPERIOD_OVERRIDE=FQ","FILING_STATUS=OR","Sort=A","Dates=H","DateFormat=P","Fill=—","Direction=H","UseDPDF=Y")</f>
        <v>-0.55000000000000004</v>
      </c>
      <c r="H19" s="14">
        <f>_xll.BDH("AMZN US Equity","IS_DIL_EPS_CONT_OPS","FQ1 2000","FQ1 2000","Currency=USD","Period=FQ","BEST_FPERIOD_OVERRIDE=FQ","FILING_STATUS=OR","Sort=A","Dates=H","DateFormat=P","Fill=—","Direction=H","UseDPDF=Y")</f>
        <v>-0.35</v>
      </c>
      <c r="I19" s="14">
        <f>_xll.BDH("AMZN US Equity","IS_DIL_EPS_CONT_OPS","FQ3 2000","FQ3 2000","Currency=USD","Period=FQ","BEST_FPERIOD_OVERRIDE=FQ","FILING_STATUS=OR","Sort=A","Dates=H","DateFormat=P","Fill=—","Direction=H","UseDPDF=Y")</f>
        <v>-0.25</v>
      </c>
      <c r="J19" s="14">
        <f>_xll.BDH("AMZN US Equity","IS_DIL_EPS_CONT_OPS","FQ4 2000","FQ4 2000","Currency=USD","Period=FQ","BEST_FPERIOD_OVERRIDE=FQ","FILING_STATUS=OR","Sort=A","Dates=H","DateFormat=P","Fill=—","Direction=H","UseDPDF=Y")</f>
        <v>-0.25</v>
      </c>
      <c r="K19" s="14">
        <f>_xll.BDH("AMZN US Equity","IS_DIL_EPS_CONT_OPS","FQ1 2001","FQ1 2001","Currency=USD","Period=FQ","BEST_FPERIOD_OVERRIDE=FQ","FILING_STATUS=OR","Sort=A","Dates=H","DateFormat=P","Fill=—","Direction=H","UseDPDF=Y")</f>
        <v>-0.21</v>
      </c>
      <c r="L19" s="14">
        <f>_xll.BDH("AMZN US Equity","IS_DIL_EPS_CONT_OPS","FQ2 2001","FQ2 2001","Currency=USD","Period=FQ","BEST_FPERIOD_OVERRIDE=FQ","FILING_STATUS=OR","Sort=A","Dates=H","DateFormat=P","Fill=—","Direction=H","UseDPDF=Y")</f>
        <v>-0.16</v>
      </c>
      <c r="M19" s="14">
        <f>_xll.BDH("AMZN US Equity","IS_DIL_EPS_CONT_OPS","FQ3 2001","FQ3 2001","Currency=USD","Period=FQ","BEST_FPERIOD_OVERRIDE=FQ","FILING_STATUS=OR","Sort=A","Dates=H","DateFormat=P","Fill=—","Direction=H","UseDPDF=Y")</f>
        <v>-0.46</v>
      </c>
      <c r="N19" s="14">
        <f>_xll.BDH("AMZN US Equity","IS_DIL_EPS_CONT_OPS","FQ4 2001","FQ4 2001","Currency=USD","Period=FQ","BEST_FPERIOD_OVERRIDE=FQ","FILING_STATUS=OR","Sort=A","Dates=H","DateFormat=P","Fill=—","Direction=H","UseDPDF=Y")</f>
        <v>0.09</v>
      </c>
      <c r="O19" s="14">
        <f>_xll.BDH("AMZN US Equity","IS_DIL_EPS_CONT_OPS","FQ1 2002","FQ1 2002","Currency=USD","Period=FQ","BEST_FPERIOD_OVERRIDE=FQ","FILING_STATUS=OR","Sort=A","Dates=H","DateFormat=P","Fill=—","Direction=H","UseDPDF=Y")</f>
        <v>-0.01</v>
      </c>
      <c r="P19" s="14">
        <f>_xll.BDH("AMZN US Equity","IS_DIL_EPS_CONT_OPS","FQ2 2002","FQ2 2002","Currency=USD","Period=FQ","BEST_FPERIOD_OVERRIDE=FQ","FILING_STATUS=OR","Sort=A","Dates=H","DateFormat=P","Fill=—","Direction=H","UseDPDF=Y")</f>
        <v>-0.01</v>
      </c>
      <c r="Q19" s="14">
        <f>_xll.BDH("AMZN US Equity","IS_DIL_EPS_CONT_OPS","FQ3 2002","FQ3 2002","Currency=USD","Period=FQ","BEST_FPERIOD_OVERRIDE=FQ","FILING_STATUS=OR","Sort=A","Dates=H","DateFormat=P","Fill=—","Direction=H","UseDPDF=Y")</f>
        <v>0</v>
      </c>
      <c r="R19" s="14">
        <f>_xll.BDH("AMZN US Equity","IS_DIL_EPS_CONT_OPS","FQ4 2002","FQ4 2002","Currency=USD","Period=FQ","BEST_FPERIOD_OVERRIDE=FQ","FILING_STATUS=OR","Sort=A","Dates=H","DateFormat=P","Fill=—","Direction=H","UseDPDF=Y")</f>
        <v>0.19</v>
      </c>
      <c r="S19" s="14">
        <f>_xll.BDH("AMZN US Equity","IS_DIL_EPS_CONT_OPS","FQ1 2003","FQ1 2003","Currency=USD","Period=FQ","BEST_FPERIOD_OVERRIDE=FQ","FILING_STATUS=OR","Sort=A","Dates=H","DateFormat=P","Fill=—","Direction=H","UseDPDF=Y")</f>
        <v>0.1</v>
      </c>
      <c r="T19" s="14">
        <f>_xll.BDH("AMZN US Equity","IS_DIL_EPS_CONT_OPS","FQ2 2003","FQ2 2003","Currency=USD","Period=FQ","BEST_FPERIOD_OVERRIDE=FQ","FILING_STATUS=OR","Sort=A","Dates=H","DateFormat=P","Fill=—","Direction=H","UseDPDF=Y")</f>
        <v>0.1</v>
      </c>
      <c r="U19" s="14">
        <f>_xll.BDH("AMZN US Equity","IS_DIL_EPS_CONT_OPS","FQ3 2003","FQ3 2003","Currency=USD","Period=FQ","BEST_FPERIOD_OVERRIDE=FQ","FILING_STATUS=OR","Sort=A","Dates=H","DateFormat=P","Fill=—","Direction=H","UseDPDF=Y")</f>
        <v>0.11</v>
      </c>
      <c r="V19" s="14">
        <f>_xll.BDH("AMZN US Equity","IS_DIL_EPS_CONT_OPS","FQ4 2003","FQ4 2003","Currency=USD","Period=FQ","BEST_FPERIOD_OVERRIDE=FQ","FILING_STATUS=OR","Sort=A","Dates=H","DateFormat=P","Fill=—","Direction=H","UseDPDF=Y")</f>
        <v>0.28999999999999998</v>
      </c>
      <c r="W19" s="14">
        <f>_xll.BDH("AMZN US Equity","IS_DIL_EPS_CONT_OPS","FQ1 2004","FQ1 2004","Currency=USD","Period=FQ","BEST_FPERIOD_OVERRIDE=FQ","FILING_STATUS=OR","Sort=A","Dates=H","DateFormat=P","Fill=—","Direction=H","UseDPDF=Y")</f>
        <v>0.23</v>
      </c>
      <c r="X19" s="14">
        <f>_xll.BDH("AMZN US Equity","IS_DIL_EPS_CONT_OPS","FQ2 2004","FQ2 2004","Currency=USD","Period=FQ","BEST_FPERIOD_OVERRIDE=FQ","FILING_STATUS=OR","Sort=A","Dates=H","DateFormat=P","Fill=—","Direction=H","UseDPDF=Y")</f>
        <v>0.18</v>
      </c>
      <c r="Y19" s="14">
        <f>_xll.BDH("AMZN US Equity","IS_DIL_EPS_CONT_OPS","FQ3 2004","FQ3 2004","Currency=USD","Period=FQ","BEST_FPERIOD_OVERRIDE=FQ","FILING_STATUS=OR","Sort=A","Dates=H","DateFormat=P","Fill=—","Direction=H","UseDPDF=Y")</f>
        <v>0.17</v>
      </c>
      <c r="Z19" s="14">
        <f>_xll.BDH("AMZN US Equity","IS_DIL_EPS_CONT_OPS","FQ4 2004","FQ4 2004","Currency=USD","Period=FQ","BEST_FPERIOD_OVERRIDE=FQ","FILING_STATUS=OR","Sort=A","Dates=H","DateFormat=P","Fill=—","Direction=H","UseDPDF=Y")</f>
        <v>0.35</v>
      </c>
      <c r="AA19" s="14">
        <f>_xll.BDH("AMZN US Equity","IS_DIL_EPS_CONT_OPS","FQ1 2005","FQ1 2005","Currency=USD","Period=FQ","BEST_FPERIOD_OVERRIDE=FQ","FILING_STATUS=OR","Sort=A","Dates=H","DateFormat=P","Fill=—","Direction=H","UseDPDF=Y")</f>
        <v>0.12</v>
      </c>
      <c r="AB19" s="14">
        <f>_xll.BDH("AMZN US Equity","IS_DIL_EPS_CONT_OPS","FQ2 2005","FQ2 2005","Currency=USD","Period=FQ","BEST_FPERIOD_OVERRIDE=FQ","FILING_STATUS=OR","Sort=A","Dates=H","DateFormat=P","Fill=—","Direction=H","UseDPDF=Y")</f>
        <v>0.12</v>
      </c>
      <c r="AC19" s="14">
        <f>_xll.BDH("AMZN US Equity","IS_DIL_EPS_CONT_OPS","FQ3 2005","FQ3 2005","Currency=USD","Period=FQ","BEST_FPERIOD_OVERRIDE=FQ","FILING_STATUS=OR","Sort=A","Dates=H","DateFormat=P","Fill=—","Direction=H","UseDPDF=Y")</f>
        <v>0.13</v>
      </c>
      <c r="AD19" s="14">
        <f>_xll.BDH("AMZN US Equity","IS_DIL_EPS_CONT_OPS","FQ4 2005","FQ4 2005","Currency=USD","Period=FQ","BEST_FPERIOD_OVERRIDE=FQ","FILING_STATUS=OR","Sort=A","Dates=H","DateFormat=P","Fill=—","Direction=H","UseDPDF=Y")</f>
        <v>0.26</v>
      </c>
      <c r="AE19" s="14">
        <f>_xll.BDH("AMZN US Equity","IS_DIL_EPS_CONT_OPS","FQ1 2006","FQ1 2006","Currency=USD","Period=FQ","BEST_FPERIOD_OVERRIDE=FQ","FILING_STATUS=OR","Sort=A","Dates=H","DateFormat=P","Fill=—","Direction=H","UseDPDF=Y")</f>
        <v>0.12</v>
      </c>
      <c r="AF19" s="14">
        <f>_xll.BDH("AMZN US Equity","IS_DIL_EPS_CONT_OPS","FQ2 2006","FQ2 2006","Currency=USD","Period=FQ","BEST_FPERIOD_OVERRIDE=FQ","FILING_STATUS=OR","Sort=A","Dates=H","DateFormat=P","Fill=—","Direction=H","UseDPDF=Y")</f>
        <v>0.05</v>
      </c>
      <c r="AG19" s="14">
        <f>_xll.BDH("AMZN US Equity","IS_DIL_EPS_CONT_OPS","FQ3 2006","FQ3 2006","Currency=USD","Period=FQ","BEST_FPERIOD_OVERRIDE=FQ","FILING_STATUS=OR","Sort=A","Dates=H","DateFormat=P","Fill=—","Direction=H","UseDPDF=Y")</f>
        <v>0.05</v>
      </c>
      <c r="AH19" s="14">
        <f>_xll.BDH("AMZN US Equity","IS_DIL_EPS_CONT_OPS","FQ4 2006","FQ4 2006","Currency=USD","Period=FQ","BEST_FPERIOD_OVERRIDE=FQ","FILING_STATUS=OR","Sort=A","Dates=H","DateFormat=P","Fill=—","Direction=H","UseDPDF=Y")</f>
        <v>0.23</v>
      </c>
      <c r="AI19" s="14">
        <f>_xll.BDH("AMZN US Equity","IS_DIL_EPS_CONT_OPS","FQ1 2007","FQ1 2007","Currency=USD","Period=FQ","BEST_FPERIOD_OVERRIDE=FQ","FILING_STATUS=OR","Sort=A","Dates=H","DateFormat=P","Fill=—","Direction=H","UseDPDF=Y")</f>
        <v>0.26</v>
      </c>
      <c r="AJ19" s="14">
        <f>_xll.BDH("AMZN US Equity","IS_DIL_EPS_CONT_OPS","FQ2 2007","FQ2 2007","Currency=USD","Period=FQ","BEST_FPERIOD_OVERRIDE=FQ","FILING_STATUS=OR","Sort=A","Dates=H","DateFormat=P","Fill=—","Direction=H","UseDPDF=Y")</f>
        <v>0.19</v>
      </c>
      <c r="AK19" s="14">
        <f>_xll.BDH("AMZN US Equity","IS_DIL_EPS_CONT_OPS","FQ3 2007","FQ3 2007","Currency=USD","Period=FQ","BEST_FPERIOD_OVERRIDE=FQ","FILING_STATUS=OR","Sort=A","Dates=H","DateFormat=P","Fill=—","Direction=H","UseDPDF=Y")</f>
        <v>0.19</v>
      </c>
      <c r="AL19" s="14">
        <f>_xll.BDH("AMZN US Equity","IS_DIL_EPS_CONT_OPS","FQ4 2007","FQ4 2007","Currency=USD","Period=FQ","BEST_FPERIOD_OVERRIDE=FQ","FILING_STATUS=OR","Sort=A","Dates=H","DateFormat=P","Fill=—","Direction=H","UseDPDF=Y")</f>
        <v>0.48</v>
      </c>
      <c r="AM19" s="14">
        <f>_xll.BDH("AMZN US Equity","IS_DIL_EPS_CONT_OPS","FQ1 2008","FQ1 2008","Currency=USD","Period=FQ","BEST_FPERIOD_OVERRIDE=FQ","FILING_STATUS=OR","Sort=A","Dates=H","DateFormat=P","Fill=—","Direction=H","UseDPDF=Y")</f>
        <v>0.34</v>
      </c>
      <c r="AN19" s="14">
        <f>_xll.BDH("AMZN US Equity","IS_DIL_EPS_CONT_OPS","FQ2 2008","FQ2 2008","Currency=USD","Period=FQ","BEST_FPERIOD_OVERRIDE=FQ","FILING_STATUS=OR","Sort=A","Dates=H","DateFormat=P","Fill=—","Direction=H","UseDPDF=Y")</f>
        <v>0.27</v>
      </c>
      <c r="AO19" s="14">
        <f>_xll.BDH("AMZN US Equity","IS_DIL_EPS_CONT_OPS","FQ3 2008","FQ3 2008","Currency=USD","Period=FQ","BEST_FPERIOD_OVERRIDE=FQ","FILING_STATUS=OR","Sort=A","Dates=H","DateFormat=P","Fill=—","Direction=H","UseDPDF=Y")</f>
        <v>0.27</v>
      </c>
      <c r="AP19" s="14">
        <f>_xll.BDH("AMZN US Equity","IS_DIL_EPS_CONT_OPS","FQ4 2008","FQ4 2008","Currency=USD","Period=FQ","BEST_FPERIOD_OVERRIDE=FQ","FILING_STATUS=OR","Sort=A","Dates=H","DateFormat=P","Fill=—","Direction=H","UseDPDF=Y")</f>
        <v>0.52</v>
      </c>
    </row>
    <row r="20" spans="1:42" x14ac:dyDescent="0.25">
      <c r="A20" s="10" t="s">
        <v>388</v>
      </c>
      <c r="B20" s="10" t="s">
        <v>168</v>
      </c>
      <c r="C20" s="14">
        <f>_xll.BDH("AMZN US Equity","EQY_DPS","FQ4 1998","FQ4 1998","Currency=USD","Period=FQ","BEST_FPERIOD_OVERRIDE=FQ","FILING_STATUS=OR","Sort=A","Dates=H","DateFormat=P","Fill=—","Direction=H","UseDPDF=Y")</f>
        <v>0</v>
      </c>
      <c r="D20" s="14">
        <f>_xll.BDH("AMZN US Equity","EQY_DPS","FQ1 1999","FQ1 1999","Currency=USD","Period=FQ","BEST_FPERIOD_OVERRIDE=FQ","FILING_STATUS=OR","Sort=A","Dates=H","DateFormat=P","Fill=—","Direction=H","UseDPDF=Y")</f>
        <v>0</v>
      </c>
      <c r="E20" s="14">
        <f>_xll.BDH("AMZN US Equity","EQY_DPS","FQ2 1999","FQ2 1999","Currency=USD","Period=FQ","BEST_FPERIOD_OVERRIDE=FQ","FILING_STATUS=OR","Sort=A","Dates=H","DateFormat=P","Fill=—","Direction=H","UseDPDF=Y")</f>
        <v>0</v>
      </c>
      <c r="F20" s="14">
        <f>_xll.BDH("AMZN US Equity","EQY_DPS","FQ3 1999","FQ3 1999","Currency=USD","Period=FQ","BEST_FPERIOD_OVERRIDE=FQ","FILING_STATUS=OR","Sort=A","Dates=H","DateFormat=P","Fill=—","Direction=H","UseDPDF=Y")</f>
        <v>0</v>
      </c>
      <c r="G20" s="14">
        <f>_xll.BDH("AMZN US Equity","EQY_DPS","FQ4 1999","FQ4 1999","Currency=USD","Period=FQ","BEST_FPERIOD_OVERRIDE=FQ","FILING_STATUS=OR","Sort=A","Dates=H","DateFormat=P","Fill=—","Direction=H","UseDPDF=Y")</f>
        <v>0</v>
      </c>
      <c r="H20" s="14">
        <f>_xll.BDH("AMZN US Equity","EQY_DPS","FQ1 2000","FQ1 2000","Currency=USD","Period=FQ","BEST_FPERIOD_OVERRIDE=FQ","FILING_STATUS=OR","Sort=A","Dates=H","DateFormat=P","Fill=—","Direction=H","UseDPDF=Y")</f>
        <v>0</v>
      </c>
      <c r="I20" s="14">
        <f>_xll.BDH("AMZN US Equity","EQY_DPS","FQ3 2000","FQ3 2000","Currency=USD","Period=FQ","BEST_FPERIOD_OVERRIDE=FQ","FILING_STATUS=OR","Sort=A","Dates=H","DateFormat=P","Fill=—","Direction=H","UseDPDF=Y")</f>
        <v>0</v>
      </c>
      <c r="J20" s="14">
        <f>_xll.BDH("AMZN US Equity","EQY_DPS","FQ4 2000","FQ4 2000","Currency=USD","Period=FQ","BEST_FPERIOD_OVERRIDE=FQ","FILING_STATUS=OR","Sort=A","Dates=H","DateFormat=P","Fill=—","Direction=H","UseDPDF=Y")</f>
        <v>0</v>
      </c>
      <c r="K20" s="14">
        <f>_xll.BDH("AMZN US Equity","EQY_DPS","FQ1 2001","FQ1 2001","Currency=USD","Period=FQ","BEST_FPERIOD_OVERRIDE=FQ","FILING_STATUS=OR","Sort=A","Dates=H","DateFormat=P","Fill=—","Direction=H","UseDPDF=Y")</f>
        <v>0</v>
      </c>
      <c r="L20" s="14">
        <f>_xll.BDH("AMZN US Equity","EQY_DPS","FQ2 2001","FQ2 2001","Currency=USD","Period=FQ","BEST_FPERIOD_OVERRIDE=FQ","FILING_STATUS=OR","Sort=A","Dates=H","DateFormat=P","Fill=—","Direction=H","UseDPDF=Y")</f>
        <v>0</v>
      </c>
      <c r="M20" s="14">
        <f>_xll.BDH("AMZN US Equity","EQY_DPS","FQ3 2001","FQ3 2001","Currency=USD","Period=FQ","BEST_FPERIOD_OVERRIDE=FQ","FILING_STATUS=OR","Sort=A","Dates=H","DateFormat=P","Fill=—","Direction=H","UseDPDF=Y")</f>
        <v>0</v>
      </c>
      <c r="N20" s="14">
        <f>_xll.BDH("AMZN US Equity","EQY_DPS","FQ4 2001","FQ4 2001","Currency=USD","Period=FQ","BEST_FPERIOD_OVERRIDE=FQ","FILING_STATUS=OR","Sort=A","Dates=H","DateFormat=P","Fill=—","Direction=H","UseDPDF=Y")</f>
        <v>0</v>
      </c>
      <c r="O20" s="14">
        <f>_xll.BDH("AMZN US Equity","EQY_DPS","FQ1 2002","FQ1 2002","Currency=USD","Period=FQ","BEST_FPERIOD_OVERRIDE=FQ","FILING_STATUS=OR","Sort=A","Dates=H","DateFormat=P","Fill=—","Direction=H","UseDPDF=Y")</f>
        <v>0</v>
      </c>
      <c r="P20" s="14">
        <f>_xll.BDH("AMZN US Equity","EQY_DPS","FQ2 2002","FQ2 2002","Currency=USD","Period=FQ","BEST_FPERIOD_OVERRIDE=FQ","FILING_STATUS=OR","Sort=A","Dates=H","DateFormat=P","Fill=—","Direction=H","UseDPDF=Y")</f>
        <v>0</v>
      </c>
      <c r="Q20" s="14">
        <f>_xll.BDH("AMZN US Equity","EQY_DPS","FQ3 2002","FQ3 2002","Currency=USD","Period=FQ","BEST_FPERIOD_OVERRIDE=FQ","FILING_STATUS=OR","Sort=A","Dates=H","DateFormat=P","Fill=—","Direction=H","UseDPDF=Y")</f>
        <v>0</v>
      </c>
      <c r="R20" s="14">
        <f>_xll.BDH("AMZN US Equity","EQY_DPS","FQ4 2002","FQ4 2002","Currency=USD","Period=FQ","BEST_FPERIOD_OVERRIDE=FQ","FILING_STATUS=OR","Sort=A","Dates=H","DateFormat=P","Fill=—","Direction=H","UseDPDF=Y")</f>
        <v>0</v>
      </c>
      <c r="S20" s="14">
        <f>_xll.BDH("AMZN US Equity","EQY_DPS","FQ1 2003","FQ1 2003","Currency=USD","Period=FQ","BEST_FPERIOD_OVERRIDE=FQ","FILING_STATUS=OR","Sort=A","Dates=H","DateFormat=P","Fill=—","Direction=H","UseDPDF=Y")</f>
        <v>0</v>
      </c>
      <c r="T20" s="14">
        <f>_xll.BDH("AMZN US Equity","EQY_DPS","FQ2 2003","FQ2 2003","Currency=USD","Period=FQ","BEST_FPERIOD_OVERRIDE=FQ","FILING_STATUS=OR","Sort=A","Dates=H","DateFormat=P","Fill=—","Direction=H","UseDPDF=Y")</f>
        <v>0</v>
      </c>
      <c r="U20" s="14">
        <f>_xll.BDH("AMZN US Equity","EQY_DPS","FQ3 2003","FQ3 2003","Currency=USD","Period=FQ","BEST_FPERIOD_OVERRIDE=FQ","FILING_STATUS=OR","Sort=A","Dates=H","DateFormat=P","Fill=—","Direction=H","UseDPDF=Y")</f>
        <v>0</v>
      </c>
      <c r="V20" s="14">
        <f>_xll.BDH("AMZN US Equity","EQY_DPS","FQ4 2003","FQ4 2003","Currency=USD","Period=FQ","BEST_FPERIOD_OVERRIDE=FQ","FILING_STATUS=OR","Sort=A","Dates=H","DateFormat=P","Fill=—","Direction=H","UseDPDF=Y")</f>
        <v>0</v>
      </c>
      <c r="W20" s="14">
        <f>_xll.BDH("AMZN US Equity","EQY_DPS","FQ1 2004","FQ1 2004","Currency=USD","Period=FQ","BEST_FPERIOD_OVERRIDE=FQ","FILING_STATUS=OR","Sort=A","Dates=H","DateFormat=P","Fill=—","Direction=H","UseDPDF=Y")</f>
        <v>0</v>
      </c>
      <c r="X20" s="14">
        <f>_xll.BDH("AMZN US Equity","EQY_DPS","FQ2 2004","FQ2 2004","Currency=USD","Period=FQ","BEST_FPERIOD_OVERRIDE=FQ","FILING_STATUS=OR","Sort=A","Dates=H","DateFormat=P","Fill=—","Direction=H","UseDPDF=Y")</f>
        <v>0</v>
      </c>
      <c r="Y20" s="14">
        <f>_xll.BDH("AMZN US Equity","EQY_DPS","FQ3 2004","FQ3 2004","Currency=USD","Period=FQ","BEST_FPERIOD_OVERRIDE=FQ","FILING_STATUS=OR","Sort=A","Dates=H","DateFormat=P","Fill=—","Direction=H","UseDPDF=Y")</f>
        <v>0</v>
      </c>
      <c r="Z20" s="14">
        <f>_xll.BDH("AMZN US Equity","EQY_DPS","FQ4 2004","FQ4 2004","Currency=USD","Period=FQ","BEST_FPERIOD_OVERRIDE=FQ","FILING_STATUS=OR","Sort=A","Dates=H","DateFormat=P","Fill=—","Direction=H","UseDPDF=Y")</f>
        <v>0</v>
      </c>
      <c r="AA20" s="14">
        <f>_xll.BDH("AMZN US Equity","EQY_DPS","FQ1 2005","FQ1 2005","Currency=USD","Period=FQ","BEST_FPERIOD_OVERRIDE=FQ","FILING_STATUS=OR","Sort=A","Dates=H","DateFormat=P","Fill=—","Direction=H","UseDPDF=Y")</f>
        <v>0</v>
      </c>
      <c r="AB20" s="14">
        <f>_xll.BDH("AMZN US Equity","EQY_DPS","FQ2 2005","FQ2 2005","Currency=USD","Period=FQ","BEST_FPERIOD_OVERRIDE=FQ","FILING_STATUS=OR","Sort=A","Dates=H","DateFormat=P","Fill=—","Direction=H","UseDPDF=Y")</f>
        <v>0</v>
      </c>
      <c r="AC20" s="14">
        <f>_xll.BDH("AMZN US Equity","EQY_DPS","FQ3 2005","FQ3 2005","Currency=USD","Period=FQ","BEST_FPERIOD_OVERRIDE=FQ","FILING_STATUS=OR","Sort=A","Dates=H","DateFormat=P","Fill=—","Direction=H","UseDPDF=Y")</f>
        <v>0</v>
      </c>
      <c r="AD20" s="14">
        <f>_xll.BDH("AMZN US Equity","EQY_DPS","FQ4 2005","FQ4 2005","Currency=USD","Period=FQ","BEST_FPERIOD_OVERRIDE=FQ","FILING_STATUS=OR","Sort=A","Dates=H","DateFormat=P","Fill=—","Direction=H","UseDPDF=Y")</f>
        <v>0</v>
      </c>
      <c r="AE20" s="14">
        <f>_xll.BDH("AMZN US Equity","EQY_DPS","FQ1 2006","FQ1 2006","Currency=USD","Period=FQ","BEST_FPERIOD_OVERRIDE=FQ","FILING_STATUS=OR","Sort=A","Dates=H","DateFormat=P","Fill=—","Direction=H","UseDPDF=Y")</f>
        <v>0</v>
      </c>
      <c r="AF20" s="14">
        <f>_xll.BDH("AMZN US Equity","EQY_DPS","FQ2 2006","FQ2 2006","Currency=USD","Period=FQ","BEST_FPERIOD_OVERRIDE=FQ","FILING_STATUS=OR","Sort=A","Dates=H","DateFormat=P","Fill=—","Direction=H","UseDPDF=Y")</f>
        <v>0</v>
      </c>
      <c r="AG20" s="14">
        <f>_xll.BDH("AMZN US Equity","EQY_DPS","FQ3 2006","FQ3 2006","Currency=USD","Period=FQ","BEST_FPERIOD_OVERRIDE=FQ","FILING_STATUS=OR","Sort=A","Dates=H","DateFormat=P","Fill=—","Direction=H","UseDPDF=Y")</f>
        <v>0</v>
      </c>
      <c r="AH20" s="14">
        <f>_xll.BDH("AMZN US Equity","EQY_DPS","FQ4 2006","FQ4 2006","Currency=USD","Period=FQ","BEST_FPERIOD_OVERRIDE=FQ","FILING_STATUS=OR","Sort=A","Dates=H","DateFormat=P","Fill=—","Direction=H","UseDPDF=Y")</f>
        <v>0</v>
      </c>
      <c r="AI20" s="14">
        <f>_xll.BDH("AMZN US Equity","EQY_DPS","FQ1 2007","FQ1 2007","Currency=USD","Period=FQ","BEST_FPERIOD_OVERRIDE=FQ","FILING_STATUS=OR","Sort=A","Dates=H","DateFormat=P","Fill=—","Direction=H","UseDPDF=Y")</f>
        <v>0</v>
      </c>
      <c r="AJ20" s="14">
        <f>_xll.BDH("AMZN US Equity","EQY_DPS","FQ2 2007","FQ2 2007","Currency=USD","Period=FQ","BEST_FPERIOD_OVERRIDE=FQ","FILING_STATUS=OR","Sort=A","Dates=H","DateFormat=P","Fill=—","Direction=H","UseDPDF=Y")</f>
        <v>0</v>
      </c>
      <c r="AK20" s="14">
        <f>_xll.BDH("AMZN US Equity","EQY_DPS","FQ3 2007","FQ3 2007","Currency=USD","Period=FQ","BEST_FPERIOD_OVERRIDE=FQ","FILING_STATUS=OR","Sort=A","Dates=H","DateFormat=P","Fill=—","Direction=H","UseDPDF=Y")</f>
        <v>0</v>
      </c>
      <c r="AL20" s="14">
        <f>_xll.BDH("AMZN US Equity","EQY_DPS","FQ4 2007","FQ4 2007","Currency=USD","Period=FQ","BEST_FPERIOD_OVERRIDE=FQ","FILING_STATUS=OR","Sort=A","Dates=H","DateFormat=P","Fill=—","Direction=H","UseDPDF=Y")</f>
        <v>0</v>
      </c>
      <c r="AM20" s="14">
        <f>_xll.BDH("AMZN US Equity","EQY_DPS","FQ1 2008","FQ1 2008","Currency=USD","Period=FQ","BEST_FPERIOD_OVERRIDE=FQ","FILING_STATUS=OR","Sort=A","Dates=H","DateFormat=P","Fill=—","Direction=H","UseDPDF=Y")</f>
        <v>0</v>
      </c>
      <c r="AN20" s="14">
        <f>_xll.BDH("AMZN US Equity","EQY_DPS","FQ2 2008","FQ2 2008","Currency=USD","Period=FQ","BEST_FPERIOD_OVERRIDE=FQ","FILING_STATUS=OR","Sort=A","Dates=H","DateFormat=P","Fill=—","Direction=H","UseDPDF=Y")</f>
        <v>0</v>
      </c>
      <c r="AO20" s="14">
        <f>_xll.BDH("AMZN US Equity","EQY_DPS","FQ3 2008","FQ3 2008","Currency=USD","Period=FQ","BEST_FPERIOD_OVERRIDE=FQ","FILING_STATUS=OR","Sort=A","Dates=H","DateFormat=P","Fill=—","Direction=H","UseDPDF=Y")</f>
        <v>0</v>
      </c>
      <c r="AP20" s="14">
        <f>_xll.BDH("AMZN US Equity","EQY_DPS","FQ4 2008","FQ4 2008","Currency=USD","Period=FQ","BEST_FPERIOD_OVERRIDE=FQ","FILING_STATUS=OR","Sort=A","Dates=H","DateFormat=P","Fill=—","Direction=H","UseDPDF=Y")</f>
        <v>0</v>
      </c>
    </row>
    <row r="21" spans="1:42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10" t="s">
        <v>389</v>
      </c>
      <c r="B22" s="10" t="s">
        <v>390</v>
      </c>
      <c r="C22" s="14">
        <f>_xll.BDH("AMZN US Equity","CASH_FLOW_PER_SH","FQ4 1998","FQ4 1998","Currency=USD","Period=FQ","BEST_FPERIOD_OVERRIDE=FQ","FILING_STATUS=OR","Sort=A","Dates=H","DateFormat=P","Fill=—","Direction=H","UseDPDF=Y")</f>
        <v>0.13400000000000001</v>
      </c>
      <c r="D22" s="14">
        <f>_xll.BDH("AMZN US Equity","CASH_FLOW_PER_SH","FQ1 1999","FQ1 1999","Currency=USD","Period=FQ","BEST_FPERIOD_OVERRIDE=FQ","FILING_STATUS=OR","Sort=A","Dates=H","DateFormat=P","Fill=—","Direction=H","UseDPDF=Y")</f>
        <v>-5.4800000000000001E-2</v>
      </c>
      <c r="E22" s="14">
        <f>_xll.BDH("AMZN US Equity","CASH_FLOW_PER_SH","FQ2 1999","FQ2 1999","Currency=USD","Period=FQ","BEST_FPERIOD_OVERRIDE=FQ","FILING_STATUS=OR","Sort=A","Dates=H","DateFormat=P","Fill=—","Direction=H","UseDPDF=Y")</f>
        <v>-9.1899999999999996E-2</v>
      </c>
      <c r="F22" s="14">
        <f>_xll.BDH("AMZN US Equity","CASH_FLOW_PER_SH","FQ3 1999","FQ3 1999","Currency=USD","Period=FQ","BEST_FPERIOD_OVERRIDE=FQ","FILING_STATUS=OR","Sort=A","Dates=H","DateFormat=P","Fill=—","Direction=H","UseDPDF=Y")</f>
        <v>-0.2273</v>
      </c>
      <c r="G22" s="14">
        <f>_xll.BDH("AMZN US Equity","CASH_FLOW_PER_SH","FQ4 1999","FQ4 1999","Currency=USD","Period=FQ","BEST_FPERIOD_OVERRIDE=FQ","FILING_STATUS=OR","Sort=A","Dates=H","DateFormat=P","Fill=—","Direction=H","UseDPDF=Y")</f>
        <v>9.3100000000000002E-2</v>
      </c>
      <c r="H22" s="14">
        <f>_xll.BDH("AMZN US Equity","CASH_FLOW_PER_SH","FQ1 2000","FQ1 2000","Currency=USD","Period=FQ","BEST_FPERIOD_OVERRIDE=FQ","FILING_STATUS=OR","Sort=A","Dates=H","DateFormat=P","Fill=—","Direction=H","UseDPDF=Y")</f>
        <v>-0.93159999999999998</v>
      </c>
      <c r="I22" s="14">
        <f>_xll.BDH("AMZN US Equity","CASH_FLOW_PER_SH","FQ3 2000","FQ3 2000","Currency=USD","Period=FQ","BEST_FPERIOD_OVERRIDE=FQ","FILING_STATUS=OR","Sort=A","Dates=H","DateFormat=P","Fill=—","Direction=H","UseDPDF=Y")</f>
        <v>-1.04E-2</v>
      </c>
      <c r="J22" s="14">
        <f>_xll.BDH("AMZN US Equity","CASH_FLOW_PER_SH","FQ4 2000","FQ4 2000","Currency=USD","Period=FQ","BEST_FPERIOD_OVERRIDE=FQ","FILING_STATUS=OR","Sort=A","Dates=H","DateFormat=P","Fill=—","Direction=H","UseDPDF=Y")</f>
        <v>0.74209999999999998</v>
      </c>
      <c r="K22" s="14">
        <f>_xll.BDH("AMZN US Equity","CASH_FLOW_PER_SH","FQ1 2001","FQ1 2001","Currency=USD","Period=FQ","BEST_FPERIOD_OVERRIDE=FQ","FILING_STATUS=OR","Sort=A","Dates=H","DateFormat=P","Fill=—","Direction=H","UseDPDF=Y")</f>
        <v>-1.1387</v>
      </c>
      <c r="L22" s="14">
        <f>_xll.BDH("AMZN US Equity","CASH_FLOW_PER_SH","FQ2 2001","FQ2 2001","Currency=USD","Period=FQ","BEST_FPERIOD_OVERRIDE=FQ","FILING_STATUS=OR","Sort=A","Dates=H","DateFormat=P","Fill=—","Direction=H","UseDPDF=Y")</f>
        <v>6.8999999999999999E-3</v>
      </c>
      <c r="M22" s="14">
        <f>_xll.BDH("AMZN US Equity","CASH_FLOW_PER_SH","FQ3 2001","FQ3 2001","Currency=USD","Period=FQ","BEST_FPERIOD_OVERRIDE=FQ","FILING_STATUS=OR","Sort=A","Dates=H","DateFormat=P","Fill=—","Direction=H","UseDPDF=Y")</f>
        <v>-0.17499999999999999</v>
      </c>
      <c r="N22" s="14">
        <f>_xll.BDH("AMZN US Equity","CASH_FLOW_PER_SH","FQ4 2001","FQ4 2001","Currency=USD","Period=FQ","BEST_FPERIOD_OVERRIDE=FQ","FILING_STATUS=OR","Sort=A","Dates=H","DateFormat=P","Fill=—","Direction=H","UseDPDF=Y")</f>
        <v>0.94</v>
      </c>
      <c r="O22" s="14">
        <f>_xll.BDH("AMZN US Equity","CASH_FLOW_PER_SH","FQ1 2002","FQ1 2002","Currency=USD","Period=FQ","BEST_FPERIOD_OVERRIDE=FQ","FILING_STATUS=OR","Sort=A","Dates=H","DateFormat=P","Fill=—","Direction=H","UseDPDF=Y")</f>
        <v>-0.64610000000000001</v>
      </c>
      <c r="P22" s="14">
        <f>_xll.BDH("AMZN US Equity","CASH_FLOW_PER_SH","FQ2 2002","FQ2 2002","Currency=USD","Period=FQ","BEST_FPERIOD_OVERRIDE=FQ","FILING_STATUS=OR","Sort=A","Dates=H","DateFormat=P","Fill=—","Direction=H","UseDPDF=Y")</f>
        <v>1.23E-2</v>
      </c>
      <c r="Q22" s="14">
        <f>_xll.BDH("AMZN US Equity","CASH_FLOW_PER_SH","FQ3 2002","FQ3 2002","Currency=USD","Period=FQ","BEST_FPERIOD_OVERRIDE=FQ","FILING_STATUS=OR","Sort=A","Dates=H","DateFormat=P","Fill=—","Direction=H","UseDPDF=Y")</f>
        <v>0.1004</v>
      </c>
      <c r="R22" s="14">
        <f>_xll.BDH("AMZN US Equity","CASH_FLOW_PER_SH","FQ4 2002","FQ4 2002","Currency=USD","Period=FQ","BEST_FPERIOD_OVERRIDE=FQ","FILING_STATUS=OR","Sort=A","Dates=H","DateFormat=P","Fill=—","Direction=H","UseDPDF=Y")</f>
        <v>0.97099999999999997</v>
      </c>
      <c r="S22" s="14">
        <f>_xll.BDH("AMZN US Equity","CASH_FLOW_PER_SH","FQ1 2003","FQ1 2003","Currency=USD","Period=FQ","BEST_FPERIOD_OVERRIDE=FQ","FILING_STATUS=OR","Sort=A","Dates=H","DateFormat=P","Fill=—","Direction=H","UseDPDF=Y")</f>
        <v>-0.64800000000000002</v>
      </c>
      <c r="T22" s="14">
        <f>_xll.BDH("AMZN US Equity","CASH_FLOW_PER_SH","FQ2 2003","FQ2 2003","Currency=USD","Period=FQ","BEST_FPERIOD_OVERRIDE=FQ","FILING_STATUS=OR","Sort=A","Dates=H","DateFormat=P","Fill=—","Direction=H","UseDPDF=Y")</f>
        <v>0.32</v>
      </c>
      <c r="U22" s="14">
        <f>_xll.BDH("AMZN US Equity","CASH_FLOW_PER_SH","FQ3 2003","FQ3 2003","Currency=USD","Period=FQ","BEST_FPERIOD_OVERRIDE=FQ","FILING_STATUS=OR","Sort=A","Dates=H","DateFormat=P","Fill=—","Direction=H","UseDPDF=Y")</f>
        <v>9.2499999999999999E-2</v>
      </c>
      <c r="V22" s="14">
        <f>_xll.BDH("AMZN US Equity","CASH_FLOW_PER_SH","FQ4 2003","FQ4 2003","Currency=USD","Period=FQ","BEST_FPERIOD_OVERRIDE=FQ","FILING_STATUS=OR","Sort=A","Dates=H","DateFormat=P","Fill=—","Direction=H","UseDPDF=Y")</f>
        <v>1.1980999999999999</v>
      </c>
      <c r="W22" s="14">
        <f>_xll.BDH("AMZN US Equity","CASH_FLOW_PER_SH","FQ1 2004","FQ1 2004","Currency=USD","Period=FQ","BEST_FPERIOD_OVERRIDE=FQ","FILING_STATUS=OR","Sort=A","Dates=H","DateFormat=P","Fill=—","Direction=H","UseDPDF=Y")</f>
        <v>-0.62119999999999997</v>
      </c>
      <c r="X22" s="14">
        <f>_xll.BDH("AMZN US Equity","CASH_FLOW_PER_SH","FQ2 2004","FQ2 2004","Currency=USD","Period=FQ","BEST_FPERIOD_OVERRIDE=FQ","FILING_STATUS=OR","Sort=A","Dates=H","DateFormat=P","Fill=—","Direction=H","UseDPDF=Y")</f>
        <v>0.35289999999999999</v>
      </c>
      <c r="Y22" s="14">
        <f>_xll.BDH("AMZN US Equity","CASH_FLOW_PER_SH","FQ3 2004","FQ3 2004","Currency=USD","Period=FQ","BEST_FPERIOD_OVERRIDE=FQ","FILING_STATUS=OR","Sort=A","Dates=H","DateFormat=P","Fill=—","Direction=H","UseDPDF=Y")</f>
        <v>0.2868</v>
      </c>
      <c r="Z22" s="14">
        <f>_xll.BDH("AMZN US Equity","CASH_FLOW_PER_SH","FQ4 2004","FQ4 2004","Currency=USD","Period=FQ","BEST_FPERIOD_OVERRIDE=FQ","FILING_STATUS=OR","Sort=A","Dates=H","DateFormat=P","Fill=—","Direction=H","UseDPDF=Y")</f>
        <v>1.3658000000000001</v>
      </c>
      <c r="AA22" s="14">
        <f>_xll.BDH("AMZN US Equity","CASH_FLOW_PER_SH","FQ1 2005","FQ1 2005","Currency=USD","Period=FQ","BEST_FPERIOD_OVERRIDE=FQ","FILING_STATUS=OR","Sort=A","Dates=H","DateFormat=P","Fill=—","Direction=H","UseDPDF=Y")</f>
        <v>-0.71709999999999996</v>
      </c>
      <c r="AB22" s="14">
        <f>_xll.BDH("AMZN US Equity","CASH_FLOW_PER_SH","FQ2 2005","FQ2 2005","Currency=USD","Period=FQ","BEST_FPERIOD_OVERRIDE=FQ","FILING_STATUS=OR","Sort=A","Dates=H","DateFormat=P","Fill=—","Direction=H","UseDPDF=Y")</f>
        <v>0.59370000000000001</v>
      </c>
      <c r="AC22" s="14">
        <f>_xll.BDH("AMZN US Equity","CASH_FLOW_PER_SH","FQ3 2005","FQ3 2005","Currency=USD","Period=FQ","BEST_FPERIOD_OVERRIDE=FQ","FILING_STATUS=OR","Sort=A","Dates=H","DateFormat=P","Fill=—","Direction=H","UseDPDF=Y")</f>
        <v>0.3705</v>
      </c>
      <c r="AD22" s="14">
        <f>_xll.BDH("AMZN US Equity","CASH_FLOW_PER_SH","FQ4 2005","FQ4 2005","Currency=USD","Period=FQ","BEST_FPERIOD_OVERRIDE=FQ","FILING_STATUS=OR","Sort=A","Dates=H","DateFormat=P","Fill=—","Direction=H","UseDPDF=Y")</f>
        <v>1.5181</v>
      </c>
      <c r="AE22" s="14">
        <f>_xll.BDH("AMZN US Equity","CASH_FLOW_PER_SH","FQ1 2006","FQ1 2006","Currency=USD","Period=FQ","BEST_FPERIOD_OVERRIDE=FQ","FILING_STATUS=OR","Sort=A","Dates=H","DateFormat=P","Fill=—","Direction=H","UseDPDF=Y")</f>
        <v>-0.72660000000000002</v>
      </c>
      <c r="AF22" s="14">
        <f>_xll.BDH("AMZN US Equity","CASH_FLOW_PER_SH","FQ2 2006","FQ2 2006","Currency=USD","Period=FQ","BEST_FPERIOD_OVERRIDE=FQ","FILING_STATUS=OR","Sort=A","Dates=H","DateFormat=P","Fill=—","Direction=H","UseDPDF=Y")</f>
        <v>0.311</v>
      </c>
      <c r="AG22" s="14">
        <f>_xll.BDH("AMZN US Equity","CASH_FLOW_PER_SH","FQ3 2006","FQ3 2006","Currency=USD","Period=FQ","BEST_FPERIOD_OVERRIDE=FQ","FILING_STATUS=OR","Sort=A","Dates=H","DateFormat=P","Fill=—","Direction=H","UseDPDF=Y")</f>
        <v>0.31180000000000002</v>
      </c>
      <c r="AH22" s="14">
        <f>_xll.BDH("AMZN US Equity","CASH_FLOW_PER_SH","FQ4 2006","FQ4 2006","Currency=USD","Period=FQ","BEST_FPERIOD_OVERRIDE=FQ","FILING_STATUS=OR","Sort=A","Dates=H","DateFormat=P","Fill=—","Direction=H","UseDPDF=Y")</f>
        <v>1.7909000000000002</v>
      </c>
      <c r="AI22" s="14">
        <f>_xll.BDH("AMZN US Equity","CASH_FLOW_PER_SH","FQ1 2007","FQ1 2007","Currency=USD","Period=FQ","BEST_FPERIOD_OVERRIDE=FQ","FILING_STATUS=OR","Sort=A","Dates=H","DateFormat=P","Fill=—","Direction=H","UseDPDF=Y")</f>
        <v>-0.67720000000000002</v>
      </c>
      <c r="AJ22" s="14">
        <f>_xll.BDH("AMZN US Equity","CASH_FLOW_PER_SH","FQ2 2007","FQ2 2007","Currency=USD","Period=FQ","BEST_FPERIOD_OVERRIDE=FQ","FILING_STATUS=OR","Sort=A","Dates=H","DateFormat=P","Fill=—","Direction=H","UseDPDF=Y")</f>
        <v>0.72570000000000001</v>
      </c>
      <c r="AK22" s="14">
        <f>_xll.BDH("AMZN US Equity","CASH_FLOW_PER_SH","FQ3 2007","FQ3 2007","Currency=USD","Period=FQ","BEST_FPERIOD_OVERRIDE=FQ","FILING_STATUS=OR","Sort=A","Dates=H","DateFormat=P","Fill=—","Direction=H","UseDPDF=Y")</f>
        <v>0.57250000000000001</v>
      </c>
      <c r="AL22" s="14">
        <f>_xll.BDH("AMZN US Equity","CASH_FLOW_PER_SH","FQ4 2007","FQ4 2007","Currency=USD","Period=FQ","BEST_FPERIOD_OVERRIDE=FQ","FILING_STATUS=OR","Sort=A","Dates=H","DateFormat=P","Fill=—","Direction=H","UseDPDF=Y")</f>
        <v>2.762</v>
      </c>
      <c r="AM22" s="14">
        <f>_xll.BDH("AMZN US Equity","CASH_FLOW_PER_SH","FQ1 2008","FQ1 2008","Currency=USD","Period=FQ","BEST_FPERIOD_OVERRIDE=FQ","FILING_STATUS=OR","Sort=A","Dates=H","DateFormat=P","Fill=—","Direction=H","UseDPDF=Y")</f>
        <v>-1.5468</v>
      </c>
      <c r="AN22" s="14">
        <f>_xll.BDH("AMZN US Equity","CASH_FLOW_PER_SH","FQ2 2008","FQ2 2008","Currency=USD","Period=FQ","BEST_FPERIOD_OVERRIDE=FQ","FILING_STATUS=OR","Sort=A","Dates=H","DateFormat=P","Fill=—","Direction=H","UseDPDF=Y")</f>
        <v>0.82620000000000005</v>
      </c>
      <c r="AO22" s="14">
        <f>_xll.BDH("AMZN US Equity","CASH_FLOW_PER_SH","FQ3 2008","FQ3 2008","Currency=USD","Period=FQ","BEST_FPERIOD_OVERRIDE=FQ","FILING_STATUS=OR","Sort=A","Dates=H","DateFormat=P","Fill=—","Direction=H","UseDPDF=Y")</f>
        <v>0.99299999999999999</v>
      </c>
      <c r="AP22" s="14">
        <f>_xll.BDH("AMZN US Equity","CASH_FLOW_PER_SH","FQ4 2008","FQ4 2008","Currency=USD","Period=FQ","BEST_FPERIOD_OVERRIDE=FQ","FILING_STATUS=OR","Sort=A","Dates=H","DateFormat=P","Fill=—","Direction=H","UseDPDF=Y")</f>
        <v>3.6705999999999999</v>
      </c>
    </row>
    <row r="23" spans="1:42" x14ac:dyDescent="0.25">
      <c r="A23" s="10" t="s">
        <v>363</v>
      </c>
      <c r="B23" s="10" t="s">
        <v>370</v>
      </c>
      <c r="C23" s="14">
        <f>_xll.BDH("AMZN US Equity","FREE_CASH_FLOW_PER_SH","FQ4 1998","FQ4 1998","Currency=USD","Period=FQ","BEST_FPERIOD_OVERRIDE=FQ","FILING_STATUS=OR","Sort=A","Dates=H","DateFormat=P","Fill=—","Direction=H","UseDPDF=Y")</f>
        <v>0.1071</v>
      </c>
      <c r="D23" s="14">
        <f>_xll.BDH("AMZN US Equity","FREE_CASH_FLOW_PER_SH","FQ1 1999","FQ1 1999","Currency=USD","Period=FQ","BEST_FPERIOD_OVERRIDE=FQ","FILING_STATUS=OR","Sort=A","Dates=H","DateFormat=P","Fill=—","Direction=H","UseDPDF=Y")</f>
        <v>-0.11550000000000001</v>
      </c>
      <c r="E23" s="14">
        <f>_xll.BDH("AMZN US Equity","FREE_CASH_FLOW_PER_SH","FQ2 1999","FQ2 1999","Currency=USD","Period=FQ","BEST_FPERIOD_OVERRIDE=FQ","FILING_STATUS=OR","Sort=A","Dates=H","DateFormat=P","Fill=—","Direction=H","UseDPDF=Y")</f>
        <v>-0.37740000000000001</v>
      </c>
      <c r="F23" s="14">
        <f>_xll.BDH("AMZN US Equity","FREE_CASH_FLOW_PER_SH","FQ3 1999","FQ3 1999","Currency=USD","Period=FQ","BEST_FPERIOD_OVERRIDE=FQ","FILING_STATUS=OR","Sort=A","Dates=H","DateFormat=P","Fill=—","Direction=H","UseDPDF=Y")</f>
        <v>-0.44009999999999999</v>
      </c>
      <c r="G23" s="14">
        <f>_xll.BDH("AMZN US Equity","FREE_CASH_FLOW_PER_SH","FQ4 1999","FQ4 1999","Currency=USD","Period=FQ","BEST_FPERIOD_OVERRIDE=FQ","FILING_STATUS=OR","Sort=A","Dates=H","DateFormat=P","Fill=—","Direction=H","UseDPDF=Y")</f>
        <v>-0.21779999999999999</v>
      </c>
      <c r="H23" s="14">
        <f>_xll.BDH("AMZN US Equity","FREE_CASH_FLOW_PER_SH","FQ1 2000","FQ1 2000","Currency=USD","Period=FQ","BEST_FPERIOD_OVERRIDE=FQ","FILING_STATUS=OR","Sort=A","Dates=H","DateFormat=P","Fill=—","Direction=H","UseDPDF=Y")</f>
        <v>-1.0089999999999999</v>
      </c>
      <c r="I23" s="14">
        <f>_xll.BDH("AMZN US Equity","FREE_CASH_FLOW_PER_SH","FQ3 2000","FQ3 2000","Currency=USD","Period=FQ","BEST_FPERIOD_OVERRIDE=FQ","FILING_STATUS=OR","Sort=A","Dates=H","DateFormat=P","Fill=—","Direction=H","UseDPDF=Y")</f>
        <v>-0.12889999999999999</v>
      </c>
      <c r="J23" s="14">
        <f>_xll.BDH("AMZN US Equity","FREE_CASH_FLOW_PER_SH","FQ4 2000","FQ4 2000","Currency=USD","Period=FQ","BEST_FPERIOD_OVERRIDE=FQ","FILING_STATUS=OR","Sort=A","Dates=H","DateFormat=P","Fill=—","Direction=H","UseDPDF=Y")</f>
        <v>0.63719999999999999</v>
      </c>
      <c r="K23" s="14">
        <f>_xll.BDH("AMZN US Equity","FREE_CASH_FLOW_PER_SH","FQ1 2001","FQ1 2001","Currency=USD","Period=FQ","BEST_FPERIOD_OVERRIDE=FQ","FILING_STATUS=OR","Sort=A","Dates=H","DateFormat=P","Fill=—","Direction=H","UseDPDF=Y")</f>
        <v>-1.1930000000000001</v>
      </c>
      <c r="L23" s="14">
        <f>_xll.BDH("AMZN US Equity","FREE_CASH_FLOW_PER_SH","FQ2 2001","FQ2 2001","Currency=USD","Period=FQ","BEST_FPERIOD_OVERRIDE=FQ","FILING_STATUS=OR","Sort=A","Dates=H","DateFormat=P","Fill=—","Direction=H","UseDPDF=Y")</f>
        <v>-2.2100000000000002E-2</v>
      </c>
      <c r="M23" s="14">
        <f>_xll.BDH("AMZN US Equity","FREE_CASH_FLOW_PER_SH","FQ3 2001","FQ3 2001","Currency=USD","Period=FQ","BEST_FPERIOD_OVERRIDE=FQ","FILING_STATUS=OR","Sort=A","Dates=H","DateFormat=P","Fill=—","Direction=H","UseDPDF=Y")</f>
        <v>-0.21010000000000001</v>
      </c>
      <c r="N23" s="14">
        <f>_xll.BDH("AMZN US Equity","FREE_CASH_FLOW_PER_SH","FQ4 2001","FQ4 2001","Currency=USD","Period=FQ","BEST_FPERIOD_OVERRIDE=FQ","FILING_STATUS=OR","Sort=A","Dates=H","DateFormat=P","Fill=—","Direction=H","UseDPDF=Y")</f>
        <v>0.91969999999999996</v>
      </c>
      <c r="O23" s="14">
        <f>_xll.BDH("AMZN US Equity","FREE_CASH_FLOW_PER_SH","FQ1 2002","FQ1 2002","Currency=USD","Period=FQ","BEST_FPERIOD_OVERRIDE=FQ","FILING_STATUS=OR","Sort=A","Dates=H","DateFormat=P","Fill=—","Direction=H","UseDPDF=Y")</f>
        <v>-0.65920000000000001</v>
      </c>
      <c r="P23" s="14">
        <f>_xll.BDH("AMZN US Equity","FREE_CASH_FLOW_PER_SH","FQ2 2002","FQ2 2002","Currency=USD","Period=FQ","BEST_FPERIOD_OVERRIDE=FQ","FILING_STATUS=OR","Sort=A","Dates=H","DateFormat=P","Fill=—","Direction=H","UseDPDF=Y")</f>
        <v>-7.4000000000000003E-3</v>
      </c>
      <c r="Q23" s="14">
        <f>_xll.BDH("AMZN US Equity","FREE_CASH_FLOW_PER_SH","FQ3 2002","FQ3 2002","Currency=USD","Period=FQ","BEST_FPERIOD_OVERRIDE=FQ","FILING_STATUS=OR","Sort=A","Dates=H","DateFormat=P","Fill=—","Direction=H","UseDPDF=Y")</f>
        <v>7.0499999999999993E-2</v>
      </c>
      <c r="R23" s="14">
        <f>_xll.BDH("AMZN US Equity","FREE_CASH_FLOW_PER_SH","FQ4 2002","FQ4 2002","Currency=USD","Period=FQ","BEST_FPERIOD_OVERRIDE=FQ","FILING_STATUS=OR","Sort=A","Dates=H","DateFormat=P","Fill=—","Direction=H","UseDPDF=Y")</f>
        <v>0.93059999999999998</v>
      </c>
      <c r="S23" s="14">
        <f>_xll.BDH("AMZN US Equity","FREE_CASH_FLOW_PER_SH","FQ1 2003","FQ1 2003","Currency=USD","Period=FQ","BEST_FPERIOD_OVERRIDE=FQ","FILING_STATUS=OR","Sort=A","Dates=H","DateFormat=P","Fill=—","Direction=H","UseDPDF=Y")</f>
        <v>-0.66449999999999998</v>
      </c>
      <c r="T23" s="14">
        <f>_xll.BDH("AMZN US Equity","FREE_CASH_FLOW_PER_SH","FQ2 2003","FQ2 2003","Currency=USD","Period=FQ","BEST_FPERIOD_OVERRIDE=FQ","FILING_STATUS=OR","Sort=A","Dates=H","DateFormat=P","Fill=—","Direction=H","UseDPDF=Y")</f>
        <v>0.30180000000000001</v>
      </c>
      <c r="U23" s="14">
        <f>_xll.BDH("AMZN US Equity","FREE_CASH_FLOW_PER_SH","FQ3 2003","FQ3 2003","Currency=USD","Period=FQ","BEST_FPERIOD_OVERRIDE=FQ","FILING_STATUS=OR","Sort=A","Dates=H","DateFormat=P","Fill=—","Direction=H","UseDPDF=Y")</f>
        <v>5.4300000000000001E-2</v>
      </c>
      <c r="V23" s="14">
        <f>_xll.BDH("AMZN US Equity","FREE_CASH_FLOW_PER_SH","FQ4 2003","FQ4 2003","Currency=USD","Period=FQ","BEST_FPERIOD_OVERRIDE=FQ","FILING_STATUS=OR","Sort=A","Dates=H","DateFormat=P","Fill=—","Direction=H","UseDPDF=Y")</f>
        <v>1.1552</v>
      </c>
      <c r="W23" s="14">
        <f>_xll.BDH("AMZN US Equity","FREE_CASH_FLOW_PER_SH","FQ1 2004","FQ1 2004","Currency=USD","Period=FQ","BEST_FPERIOD_OVERRIDE=FQ","FILING_STATUS=OR","Sort=A","Dates=H","DateFormat=P","Fill=—","Direction=H","UseDPDF=Y")</f>
        <v>-0.64480000000000004</v>
      </c>
      <c r="X23" s="14">
        <f>_xll.BDH("AMZN US Equity","FREE_CASH_FLOW_PER_SH","FQ2 2004","FQ2 2004","Currency=USD","Period=FQ","BEST_FPERIOD_OVERRIDE=FQ","FILING_STATUS=OR","Sort=A","Dates=H","DateFormat=P","Fill=—","Direction=H","UseDPDF=Y")</f>
        <v>0.318</v>
      </c>
      <c r="Y23" s="14">
        <f>_xll.BDH("AMZN US Equity","FREE_CASH_FLOW_PER_SH","FQ3 2004","FQ3 2004","Currency=USD","Period=FQ","BEST_FPERIOD_OVERRIDE=FQ","FILING_STATUS=OR","Sort=A","Dates=H","DateFormat=P","Fill=—","Direction=H","UseDPDF=Y")</f>
        <v>0.2162</v>
      </c>
      <c r="Z23" s="14">
        <f>_xll.BDH("AMZN US Equity","FREE_CASH_FLOW_PER_SH","FQ4 2004","FQ4 2004","Currency=USD","Period=FQ","BEST_FPERIOD_OVERRIDE=FQ","FILING_STATUS=OR","Sort=A","Dates=H","DateFormat=P","Fill=—","Direction=H","UseDPDF=Y")</f>
        <v>1.2758</v>
      </c>
      <c r="AA23" s="14">
        <f>_xll.BDH("AMZN US Equity","FREE_CASH_FLOW_PER_SH","FQ1 2005","FQ1 2005","Currency=USD","Period=FQ","BEST_FPERIOD_OVERRIDE=FQ","FILING_STATUS=OR","Sort=A","Dates=H","DateFormat=P","Fill=—","Direction=H","UseDPDF=Y")</f>
        <v>-0.78049999999999997</v>
      </c>
      <c r="AB23" s="14">
        <f>_xll.BDH("AMZN US Equity","FREE_CASH_FLOW_PER_SH","FQ2 2005","FQ2 2005","Currency=USD","Period=FQ","BEST_FPERIOD_OVERRIDE=FQ","FILING_STATUS=OR","Sort=A","Dates=H","DateFormat=P","Fill=—","Direction=H","UseDPDF=Y")</f>
        <v>0.48180000000000001</v>
      </c>
      <c r="AC23" s="14">
        <f>_xll.BDH("AMZN US Equity","FREE_CASH_FLOW_PER_SH","FQ3 2005","FQ3 2005","Currency=USD","Period=FQ","BEST_FPERIOD_OVERRIDE=FQ","FILING_STATUS=OR","Sort=A","Dates=H","DateFormat=P","Fill=—","Direction=H","UseDPDF=Y")</f>
        <v>0.18640000000000001</v>
      </c>
      <c r="AD23" s="14">
        <f>_xll.BDH("AMZN US Equity","FREE_CASH_FLOW_PER_SH","FQ4 2005","FQ4 2005","Currency=USD","Period=FQ","BEST_FPERIOD_OVERRIDE=FQ","FILING_STATUS=OR","Sort=A","Dates=H","DateFormat=P","Fill=—","Direction=H","UseDPDF=Y")</f>
        <v>1.3831</v>
      </c>
      <c r="AE23" s="14">
        <f>_xll.BDH("AMZN US Equity","FREE_CASH_FLOW_PER_SH","FQ1 2006","FQ1 2006","Currency=USD","Period=FQ","BEST_FPERIOD_OVERRIDE=FQ","FILING_STATUS=OR","Sort=A","Dates=H","DateFormat=P","Fill=—","Direction=H","UseDPDF=Y")</f>
        <v>-0.83689999999999998</v>
      </c>
      <c r="AF23" s="14">
        <f>_xll.BDH("AMZN US Equity","FREE_CASH_FLOW_PER_SH","FQ2 2006","FQ2 2006","Currency=USD","Period=FQ","BEST_FPERIOD_OVERRIDE=FQ","FILING_STATUS=OR","Sort=A","Dates=H","DateFormat=P","Fill=—","Direction=H","UseDPDF=Y")</f>
        <v>0.17219999999999999</v>
      </c>
      <c r="AG23" s="14">
        <f>_xll.BDH("AMZN US Equity","FREE_CASH_FLOW_PER_SH","FQ3 2006","FQ3 2006","Currency=USD","Period=FQ","BEST_FPERIOD_OVERRIDE=FQ","FILING_STATUS=OR","Sort=A","Dates=H","DateFormat=P","Fill=—","Direction=H","UseDPDF=Y")</f>
        <v>0.16309999999999999</v>
      </c>
      <c r="AH23" s="14">
        <f>_xll.BDH("AMZN US Equity","FREE_CASH_FLOW_PER_SH","FQ4 2006","FQ4 2006","Currency=USD","Period=FQ","BEST_FPERIOD_OVERRIDE=FQ","FILING_STATUS=OR","Sort=A","Dates=H","DateFormat=P","Fill=—","Direction=H","UseDPDF=Y")</f>
        <v>1.6707000000000001</v>
      </c>
      <c r="AI23" s="14">
        <f>_xll.BDH("AMZN US Equity","FREE_CASH_FLOW_PER_SH","FQ1 2007","FQ1 2007","Currency=USD","Period=FQ","BEST_FPERIOD_OVERRIDE=FQ","FILING_STATUS=OR","Sort=A","Dates=H","DateFormat=P","Fill=—","Direction=H","UseDPDF=Y")</f>
        <v>-0.75970000000000004</v>
      </c>
      <c r="AJ23" s="14">
        <f>_xll.BDH("AMZN US Equity","FREE_CASH_FLOW_PER_SH","FQ2 2007","FQ2 2007","Currency=USD","Period=FQ","BEST_FPERIOD_OVERRIDE=FQ","FILING_STATUS=OR","Sort=A","Dates=H","DateFormat=P","Fill=—","Direction=H","UseDPDF=Y")</f>
        <v>0.61170000000000002</v>
      </c>
      <c r="AK23" s="14">
        <f>_xll.BDH("AMZN US Equity","FREE_CASH_FLOW_PER_SH","FQ3 2007","FQ3 2007","Currency=USD","Period=FQ","BEST_FPERIOD_OVERRIDE=FQ","FILING_STATUS=OR","Sort=A","Dates=H","DateFormat=P","Fill=—","Direction=H","UseDPDF=Y")</f>
        <v>0.40579999999999999</v>
      </c>
      <c r="AL23" s="14">
        <f>_xll.BDH("AMZN US Equity","FREE_CASH_FLOW_PER_SH","FQ4 2007","FQ4 2007","Currency=USD","Period=FQ","BEST_FPERIOD_OVERRIDE=FQ","FILING_STATUS=OR","Sort=A","Dates=H","DateFormat=P","Fill=—","Direction=H","UseDPDF=Y")</f>
        <v>2.5865</v>
      </c>
      <c r="AM23" s="14">
        <f>_xll.BDH("AMZN US Equity","FREE_CASH_FLOW_PER_SH","FQ1 2008","FQ1 2008","Currency=USD","Period=FQ","BEST_FPERIOD_OVERRIDE=FQ","FILING_STATUS=OR","Sort=A","Dates=H","DateFormat=P","Fill=—","Direction=H","UseDPDF=Y")</f>
        <v>-1.6930000000000001</v>
      </c>
      <c r="AN23" s="14">
        <f>_xll.BDH("AMZN US Equity","FREE_CASH_FLOW_PER_SH","FQ2 2008","FQ2 2008","Currency=USD","Period=FQ","BEST_FPERIOD_OVERRIDE=FQ","FILING_STATUS=OR","Sort=A","Dates=H","DateFormat=P","Fill=—","Direction=H","UseDPDF=Y")</f>
        <v>0.66190000000000004</v>
      </c>
      <c r="AO23" s="14">
        <f>_xll.BDH("AMZN US Equity","FREE_CASH_FLOW_PER_SH","FQ3 2008","FQ3 2008","Currency=USD","Period=FQ","BEST_FPERIOD_OVERRIDE=FQ","FILING_STATUS=OR","Sort=A","Dates=H","DateFormat=P","Fill=—","Direction=H","UseDPDF=Y")</f>
        <v>0.75409999999999999</v>
      </c>
      <c r="AP23" s="14">
        <f>_xll.BDH("AMZN US Equity","FREE_CASH_FLOW_PER_SH","FQ4 2008","FQ4 2008","Currency=USD","Period=FQ","BEST_FPERIOD_OVERRIDE=FQ","FILING_STATUS=OR","Sort=A","Dates=H","DateFormat=P","Fill=—","Direction=H","UseDPDF=Y")</f>
        <v>3.4346000000000001</v>
      </c>
    </row>
    <row r="24" spans="1:42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10" t="s">
        <v>2</v>
      </c>
      <c r="B25" s="10" t="s">
        <v>391</v>
      </c>
      <c r="C25" s="14">
        <f>_xll.BDH("AMZN US Equity","CASH_ST_INVESTMENTS_PER_SH","FQ4 1998","FQ4 1998","Currency=USD","Period=FQ","BEST_FPERIOD_OVERRIDE=FQ","FILING_STATUS=OR","Sort=A","Dates=H","DateFormat=P","Fill=—","Direction=H","UseDPDF=Y")</f>
        <v>1.1724000000000001</v>
      </c>
      <c r="D25" s="14">
        <f>_xll.BDH("AMZN US Equity","CASH_ST_INVESTMENTS_PER_SH","FQ1 1999","FQ1 1999","Currency=USD","Period=FQ","BEST_FPERIOD_OVERRIDE=FQ","FILING_STATUS=OR","Sort=A","Dates=H","DateFormat=P","Fill=—","Direction=H","UseDPDF=Y")</f>
        <v>4.4710000000000001</v>
      </c>
      <c r="E25" s="14">
        <f>_xll.BDH("AMZN US Equity","CASH_ST_INVESTMENTS_PER_SH","FQ2 1999","FQ2 1999","Currency=USD","Period=FQ","BEST_FPERIOD_OVERRIDE=FQ","FILING_STATUS=OR","Sort=A","Dates=H","DateFormat=P","Fill=—","Direction=H","UseDPDF=Y")</f>
        <v>3.4024000000000001</v>
      </c>
      <c r="F25" s="14">
        <f>_xll.BDH("AMZN US Equity","CASH_ST_INVESTMENTS_PER_SH","FQ3 1999","FQ3 1999","Currency=USD","Period=FQ","BEST_FPERIOD_OVERRIDE=FQ","FILING_STATUS=OR","Sort=A","Dates=H","DateFormat=P","Fill=—","Direction=H","UseDPDF=Y")</f>
        <v>2.6576</v>
      </c>
      <c r="G25" s="14">
        <f>_xll.BDH("AMZN US Equity","CASH_ST_INVESTMENTS_PER_SH","FQ4 1999","FQ4 1999","Currency=USD","Period=FQ","BEST_FPERIOD_OVERRIDE=FQ","FILING_STATUS=OR","Sort=A","Dates=H","DateFormat=P","Fill=—","Direction=H","UseDPDF=Y")</f>
        <v>2.0459999999999998</v>
      </c>
      <c r="H25" s="14">
        <f>_xll.BDH("AMZN US Equity","CASH_ST_INVESTMENTS_PER_SH","FQ1 2000","FQ1 2000","Currency=USD","Period=FQ","BEST_FPERIOD_OVERRIDE=FQ","FILING_STATUS=OR","Sort=A","Dates=H","DateFormat=P","Fill=—","Direction=H","UseDPDF=Y")</f>
        <v>2.8829000000000002</v>
      </c>
      <c r="I25" s="14">
        <f>_xll.BDH("AMZN US Equity","CASH_ST_INVESTMENTS_PER_SH","FQ3 2000","FQ3 2000","Currency=USD","Period=FQ","BEST_FPERIOD_OVERRIDE=FQ","FILING_STATUS=OR","Sort=A","Dates=H","DateFormat=P","Fill=—","Direction=H","UseDPDF=Y")</f>
        <v>2.5274000000000001</v>
      </c>
      <c r="J25" s="14">
        <f>_xll.BDH("AMZN US Equity","CASH_ST_INVESTMENTS_PER_SH","FQ4 2000","FQ4 2000","Currency=USD","Period=FQ","BEST_FPERIOD_OVERRIDE=FQ","FILING_STATUS=OR","Sort=A","Dates=H","DateFormat=P","Fill=—","Direction=H","UseDPDF=Y")</f>
        <v>3.0815000000000001</v>
      </c>
      <c r="K25" s="14">
        <f>_xll.BDH("AMZN US Equity","CASH_ST_INVESTMENTS_PER_SH","FQ1 2001","FQ1 2001","Currency=USD","Period=FQ","BEST_FPERIOD_OVERRIDE=FQ","FILING_STATUS=OR","Sort=A","Dates=H","DateFormat=P","Fill=—","Direction=H","UseDPDF=Y")</f>
        <v>1.7917999999999998</v>
      </c>
      <c r="L25" s="14">
        <f>_xll.BDH("AMZN US Equity","CASH_ST_INVESTMENTS_PER_SH","FQ2 2001","FQ2 2001","Currency=USD","Period=FQ","BEST_FPERIOD_OVERRIDE=FQ","FILING_STATUS=OR","Sort=A","Dates=H","DateFormat=P","Fill=—","Direction=H","UseDPDF=Y")</f>
        <v>1.6813</v>
      </c>
      <c r="M25" s="14">
        <f>_xll.BDH("AMZN US Equity","CASH_ST_INVESTMENTS_PER_SH","FQ3 2001","FQ3 2001","Currency=USD","Period=FQ","BEST_FPERIOD_OVERRIDE=FQ","FILING_STATUS=OR","Sort=A","Dates=H","DateFormat=P","Fill=—","Direction=H","UseDPDF=Y")</f>
        <v>1.7970999999999999</v>
      </c>
      <c r="N25" s="14">
        <f>_xll.BDH("AMZN US Equity","CASH_ST_INVESTMENTS_PER_SH","FQ4 2001","FQ4 2001","Currency=USD","Period=FQ","BEST_FPERIOD_OVERRIDE=FQ","FILING_STATUS=OR","Sort=A","Dates=H","DateFormat=P","Fill=—","Direction=H","UseDPDF=Y")</f>
        <v>2.6701999999999999</v>
      </c>
      <c r="O25" s="14">
        <f>_xll.BDH("AMZN US Equity","CASH_ST_INVESTMENTS_PER_SH","FQ1 2002","FQ1 2002","Currency=USD","Period=FQ","BEST_FPERIOD_OVERRIDE=FQ","FILING_STATUS=OR","Sort=A","Dates=H","DateFormat=P","Fill=—","Direction=H","UseDPDF=Y")</f>
        <v>1.9868000000000001</v>
      </c>
      <c r="P25" s="14">
        <f>_xll.BDH("AMZN US Equity","CASH_ST_INVESTMENTS_PER_SH","FQ2 2002","FQ2 2002","Currency=USD","Period=FQ","BEST_FPERIOD_OVERRIDE=FQ","FILING_STATUS=OR","Sort=A","Dates=H","DateFormat=P","Fill=—","Direction=H","UseDPDF=Y")</f>
        <v>2.1656</v>
      </c>
      <c r="Q25" s="14">
        <f>_xll.BDH("AMZN US Equity","CASH_ST_INVESTMENTS_PER_SH","FQ3 2002","FQ3 2002","Currency=USD","Period=FQ","BEST_FPERIOD_OVERRIDE=FQ","FILING_STATUS=OR","Sort=A","Dates=H","DateFormat=P","Fill=—","Direction=H","UseDPDF=Y")</f>
        <v>2.2711999999999999</v>
      </c>
      <c r="R25" s="14">
        <f>_xll.BDH("AMZN US Equity","CASH_ST_INVESTMENTS_PER_SH","FQ4 2002","FQ4 2002","Currency=USD","Period=FQ","BEST_FPERIOD_OVERRIDE=FQ","FILING_STATUS=OR","Sort=A","Dates=H","DateFormat=P","Fill=—","Direction=H","UseDPDF=Y")</f>
        <v>3.3538000000000001</v>
      </c>
      <c r="S25" s="14">
        <f>_xll.BDH("AMZN US Equity","CASH_ST_INVESTMENTS_PER_SH","FQ1 2003","FQ1 2003","Currency=USD","Period=FQ","BEST_FPERIOD_OVERRIDE=FQ","FILING_STATUS=OR","Sort=A","Dates=H","DateFormat=P","Fill=—","Direction=H","UseDPDF=Y")</f>
        <v>2.7644000000000002</v>
      </c>
      <c r="T25" s="14">
        <f>_xll.BDH("AMZN US Equity","CASH_ST_INVESTMENTS_PER_SH","FQ2 2003","FQ2 2003","Currency=USD","Period=FQ","BEST_FPERIOD_OVERRIDE=FQ","FILING_STATUS=OR","Sort=A","Dates=H","DateFormat=P","Fill=—","Direction=H","UseDPDF=Y")</f>
        <v>2.4923000000000002</v>
      </c>
      <c r="U25" s="14">
        <f>_xll.BDH("AMZN US Equity","CASH_ST_INVESTMENTS_PER_SH","FQ3 2003","FQ3 2003","Currency=USD","Period=FQ","BEST_FPERIOD_OVERRIDE=FQ","FILING_STATUS=OR","Sort=A","Dates=H","DateFormat=P","Fill=—","Direction=H","UseDPDF=Y")</f>
        <v>2.6588000000000003</v>
      </c>
      <c r="V25" s="14">
        <f>_xll.BDH("AMZN US Equity","CASH_ST_INVESTMENTS_PER_SH","FQ4 2003","FQ4 2003","Currency=USD","Period=FQ","BEST_FPERIOD_OVERRIDE=FQ","FILING_STATUS=OR","Sort=A","Dates=H","DateFormat=P","Fill=—","Direction=H","UseDPDF=Y")</f>
        <v>3.4581</v>
      </c>
      <c r="W25" s="14">
        <f>_xll.BDH("AMZN US Equity","CASH_ST_INVESTMENTS_PER_SH","FQ1 2004","FQ1 2004","Currency=USD","Period=FQ","BEST_FPERIOD_OVERRIDE=FQ","FILING_STATUS=OR","Sort=A","Dates=H","DateFormat=P","Fill=—","Direction=H","UseDPDF=Y")</f>
        <v>2.4651999999999998</v>
      </c>
      <c r="X25" s="14">
        <f>_xll.BDH("AMZN US Equity","CASH_ST_INVESTMENTS_PER_SH","FQ2 2004","FQ2 2004","Currency=USD","Period=FQ","BEST_FPERIOD_OVERRIDE=FQ","FILING_STATUS=OR","Sort=A","Dates=H","DateFormat=P","Fill=—","Direction=H","UseDPDF=Y")</f>
        <v>2.8308999999999997</v>
      </c>
      <c r="Y25" s="14">
        <f>_xll.BDH("AMZN US Equity","CASH_ST_INVESTMENTS_PER_SH","FQ3 2004","FQ3 2004","Currency=USD","Period=FQ","BEST_FPERIOD_OVERRIDE=FQ","FILING_STATUS=OR","Sort=A","Dates=H","DateFormat=P","Fill=—","Direction=H","UseDPDF=Y")</f>
        <v>2.9074999999999998</v>
      </c>
      <c r="Z25" s="14">
        <f>_xll.BDH("AMZN US Equity","CASH_ST_INVESTMENTS_PER_SH","FQ4 2004","FQ4 2004","Currency=USD","Period=FQ","BEST_FPERIOD_OVERRIDE=FQ","FILING_STATUS=OR","Sort=A","Dates=H","DateFormat=P","Fill=—","Direction=H","UseDPDF=Y")</f>
        <v>4.3426</v>
      </c>
      <c r="AA25" s="14">
        <f>_xll.BDH("AMZN US Equity","CASH_ST_INVESTMENTS_PER_SH","FQ1 2005","FQ1 2005","Currency=USD","Period=FQ","BEST_FPERIOD_OVERRIDE=FQ","FILING_STATUS=OR","Sort=A","Dates=H","DateFormat=P","Fill=—","Direction=H","UseDPDF=Y")</f>
        <v>2.8005</v>
      </c>
      <c r="AB25" s="14">
        <f>_xll.BDH("AMZN US Equity","CASH_ST_INVESTMENTS_PER_SH","FQ2 2005","FQ2 2005","Currency=USD","Period=FQ","BEST_FPERIOD_OVERRIDE=FQ","FILING_STATUS=OR","Sort=A","Dates=H","DateFormat=P","Fill=—","Direction=H","UseDPDF=Y")</f>
        <v>3.2160000000000002</v>
      </c>
      <c r="AC25" s="14">
        <f>_xll.BDH("AMZN US Equity","CASH_ST_INVESTMENTS_PER_SH","FQ3 2005","FQ3 2005","Currency=USD","Period=FQ","BEST_FPERIOD_OVERRIDE=FQ","FILING_STATUS=OR","Sort=A","Dates=H","DateFormat=P","Fill=—","Direction=H","UseDPDF=Y")</f>
        <v>3.4275000000000002</v>
      </c>
      <c r="AD25" s="14">
        <f>_xll.BDH("AMZN US Equity","CASH_ST_INVESTMENTS_PER_SH","FQ4 2005","FQ4 2005","Currency=USD","Period=FQ","BEST_FPERIOD_OVERRIDE=FQ","FILING_STATUS=OR","Sort=A","Dates=H","DateFormat=P","Fill=—","Direction=H","UseDPDF=Y")</f>
        <v>4.8076999999999996</v>
      </c>
      <c r="AE25" s="14">
        <f>_xll.BDH("AMZN US Equity","CASH_ST_INVESTMENTS_PER_SH","FQ1 2006","FQ1 2006","Currency=USD","Period=FQ","BEST_FPERIOD_OVERRIDE=FQ","FILING_STATUS=OR","Sort=A","Dates=H","DateFormat=P","Fill=—","Direction=H","UseDPDF=Y")</f>
        <v>3.1989999999999998</v>
      </c>
      <c r="AF25" s="14">
        <f>_xll.BDH("AMZN US Equity","CASH_ST_INVESTMENTS_PER_SH","FQ2 2006","FQ2 2006","Currency=USD","Period=FQ","BEST_FPERIOD_OVERRIDE=FQ","FILING_STATUS=OR","Sort=A","Dates=H","DateFormat=P","Fill=—","Direction=H","UseDPDF=Y")</f>
        <v>3.3866000000000001</v>
      </c>
      <c r="AG25" s="14">
        <f>_xll.BDH("AMZN US Equity","CASH_ST_INVESTMENTS_PER_SH","FQ3 2006","FQ3 2006","Currency=USD","Period=FQ","BEST_FPERIOD_OVERRIDE=FQ","FILING_STATUS=OR","Sort=A","Dates=H","DateFormat=P","Fill=—","Direction=H","UseDPDF=Y")</f>
        <v>2.9659</v>
      </c>
      <c r="AH25" s="14">
        <f>_xll.BDH("AMZN US Equity","CASH_ST_INVESTMENTS_PER_SH","FQ4 2006","FQ4 2006","Currency=USD","Period=FQ","BEST_FPERIOD_OVERRIDE=FQ","FILING_STATUS=OR","Sort=A","Dates=H","DateFormat=P","Fill=—","Direction=H","UseDPDF=Y")</f>
        <v>4.8768000000000002</v>
      </c>
      <c r="AI25" s="14">
        <f>_xll.BDH("AMZN US Equity","CASH_ST_INVESTMENTS_PER_SH","FQ1 2007","FQ1 2007","Currency=USD","Period=FQ","BEST_FPERIOD_OVERRIDE=FQ","FILING_STATUS=OR","Sort=A","Dates=H","DateFormat=P","Fill=—","Direction=H","UseDPDF=Y")</f>
        <v>3.4718999999999998</v>
      </c>
      <c r="AJ25" s="14">
        <f>_xll.BDH("AMZN US Equity","CASH_ST_INVESTMENTS_PER_SH","FQ2 2007","FQ2 2007","Currency=USD","Period=FQ","BEST_FPERIOD_OVERRIDE=FQ","FILING_STATUS=OR","Sort=A","Dates=H","DateFormat=P","Fill=—","Direction=H","UseDPDF=Y")</f>
        <v>4.0315000000000003</v>
      </c>
      <c r="AK25" s="14">
        <f>_xll.BDH("AMZN US Equity","CASH_ST_INVESTMENTS_PER_SH","FQ3 2007","FQ3 2007","Currency=USD","Period=FQ","BEST_FPERIOD_OVERRIDE=FQ","FILING_STATUS=OR","Sort=A","Dates=H","DateFormat=P","Fill=—","Direction=H","UseDPDF=Y")</f>
        <v>4.5999999999999996</v>
      </c>
      <c r="AL25" s="14">
        <f>_xll.BDH("AMZN US Equity","CASH_ST_INVESTMENTS_PER_SH","FQ4 2007","FQ4 2007","Currency=USD","Period=FQ","BEST_FPERIOD_OVERRIDE=FQ","FILING_STATUS=OR","Sort=A","Dates=H","DateFormat=P","Fill=—","Direction=H","UseDPDF=Y")</f>
        <v>7.2203999999999997</v>
      </c>
      <c r="AM25" s="14">
        <f>_xll.BDH("AMZN US Equity","CASH_ST_INVESTMENTS_PER_SH","FQ1 2008","FQ1 2008","Currency=USD","Period=FQ","BEST_FPERIOD_OVERRIDE=FQ","FILING_STATUS=OR","Sort=A","Dates=H","DateFormat=P","Fill=—","Direction=H","UseDPDF=Y")</f>
        <v>5.1582999999999997</v>
      </c>
      <c r="AN25" s="14">
        <f>_xll.BDH("AMZN US Equity","CASH_ST_INVESTMENTS_PER_SH","FQ2 2008","FQ2 2008","Currency=USD","Period=FQ","BEST_FPERIOD_OVERRIDE=FQ","FILING_STATUS=OR","Sort=A","Dates=H","DateFormat=P","Fill=—","Direction=H","UseDPDF=Y")</f>
        <v>5.5869</v>
      </c>
      <c r="AO25" s="14">
        <f>_xll.BDH("AMZN US Equity","CASH_ST_INVESTMENTS_PER_SH","FQ3 2008","FQ3 2008","Currency=USD","Period=FQ","BEST_FPERIOD_OVERRIDE=FQ","FILING_STATUS=OR","Sort=A","Dates=H","DateFormat=P","Fill=—","Direction=H","UseDPDF=Y")</f>
        <v>5.4172000000000002</v>
      </c>
      <c r="AP25" s="14">
        <f>_xll.BDH("AMZN US Equity","CASH_ST_INVESTMENTS_PER_SH","FQ4 2008","FQ4 2008","Currency=USD","Period=FQ","BEST_FPERIOD_OVERRIDE=FQ","FILING_STATUS=OR","Sort=A","Dates=H","DateFormat=P","Fill=—","Direction=H","UseDPDF=Y")</f>
        <v>8.7079000000000004</v>
      </c>
    </row>
    <row r="26" spans="1:42" x14ac:dyDescent="0.25">
      <c r="A26" s="10" t="s">
        <v>392</v>
      </c>
      <c r="B26" s="10" t="s">
        <v>393</v>
      </c>
      <c r="C26" s="14">
        <f>_xll.BDH("AMZN US Equity","BOOK_VAL_PER_SH","FQ4 1998","FQ4 1998","Currency=USD","Period=FQ","BEST_FPERIOD_OVERRIDE=FQ","FILING_STATUS=OR","Sort=A","Dates=H","DateFormat=P","Fill=—","Direction=H","UseDPDF=Y")</f>
        <v>0.43559999999999999</v>
      </c>
      <c r="D26" s="14">
        <f>_xll.BDH("AMZN US Equity","BOOK_VAL_PER_SH","FQ1 1999","FQ1 1999","Currency=USD","Period=FQ","BEST_FPERIOD_OVERRIDE=FQ","FILING_STATUS=OR","Sort=A","Dates=H","DateFormat=P","Fill=—","Direction=H","UseDPDF=Y")</f>
        <v>0.2402</v>
      </c>
      <c r="E26" s="14">
        <f>_xll.BDH("AMZN US Equity","BOOK_VAL_PER_SH","FQ2 1999","FQ2 1999","Currency=USD","Period=FQ","BEST_FPERIOD_OVERRIDE=FQ","FILING_STATUS=OR","Sort=A","Dates=H","DateFormat=P","Fill=—","Direction=H","UseDPDF=Y")</f>
        <v>1.698</v>
      </c>
      <c r="F26" s="14">
        <f>_xll.BDH("AMZN US Equity","BOOK_VAL_PER_SH","FQ3 1999","FQ3 1999","Currency=USD","Period=FQ","BEST_FPERIOD_OVERRIDE=FQ","FILING_STATUS=OR","Sort=A","Dates=H","DateFormat=P","Fill=—","Direction=H","UseDPDF=Y")</f>
        <v>1.2322</v>
      </c>
      <c r="G26" s="14">
        <f>_xll.BDH("AMZN US Equity","BOOK_VAL_PER_SH","FQ4 1999","FQ4 1999","Currency=USD","Period=FQ","BEST_FPERIOD_OVERRIDE=FQ","FILING_STATUS=OR","Sort=A","Dates=H","DateFormat=P","Fill=—","Direction=H","UseDPDF=Y")</f>
        <v>0.77149999999999996</v>
      </c>
      <c r="H26" s="14">
        <f>_xll.BDH("AMZN US Equity","BOOK_VAL_PER_SH","FQ1 2000","FQ1 2000","Currency=USD","Period=FQ","BEST_FPERIOD_OVERRIDE=FQ","FILING_STATUS=OR","Sort=A","Dates=H","DateFormat=P","Fill=—","Direction=H","UseDPDF=Y")</f>
        <v>7.3200000000000001E-2</v>
      </c>
      <c r="I26" s="14">
        <f>_xll.BDH("AMZN US Equity","BOOK_VAL_PER_SH","FQ3 2000","FQ3 2000","Currency=USD","Period=FQ","BEST_FPERIOD_OVERRIDE=FQ","FILING_STATUS=OR","Sort=A","Dates=H","DateFormat=P","Fill=—","Direction=H","UseDPDF=Y")</f>
        <v>-1.3681000000000001</v>
      </c>
      <c r="J26" s="14">
        <f>_xll.BDH("AMZN US Equity","BOOK_VAL_PER_SH","FQ4 2000","FQ4 2000","Currency=USD","Period=FQ","BEST_FPERIOD_OVERRIDE=FQ","FILING_STATUS=OR","Sort=A","Dates=H","DateFormat=P","Fill=—","Direction=H","UseDPDF=Y")</f>
        <v>-2.7082999999999999</v>
      </c>
      <c r="K26" s="14">
        <f>_xll.BDH("AMZN US Equity","BOOK_VAL_PER_SH","FQ1 2001","FQ1 2001","Currency=USD","Period=FQ","BEST_FPERIOD_OVERRIDE=FQ","FILING_STATUS=OR","Sort=A","Dates=H","DateFormat=P","Fill=—","Direction=H","UseDPDF=Y")</f>
        <v>-3.4929000000000001</v>
      </c>
      <c r="L26" s="14">
        <f>_xll.BDH("AMZN US Equity","BOOK_VAL_PER_SH","FQ2 2001","FQ2 2001","Currency=USD","Period=FQ","BEST_FPERIOD_OVERRIDE=FQ","FILING_STATUS=OR","Sort=A","Dates=H","DateFormat=P","Fill=—","Direction=H","UseDPDF=Y")</f>
        <v>-3.948</v>
      </c>
      <c r="M26" s="14">
        <f>_xll.BDH("AMZN US Equity","BOOK_VAL_PER_SH","FQ3 2001","FQ3 2001","Currency=USD","Period=FQ","BEST_FPERIOD_OVERRIDE=FQ","FILING_STATUS=OR","Sort=A","Dates=H","DateFormat=P","Fill=—","Direction=H","UseDPDF=Y")</f>
        <v>-3.911</v>
      </c>
      <c r="N26" s="14">
        <f>_xll.BDH("AMZN US Equity","BOOK_VAL_PER_SH","FQ4 2001","FQ4 2001","Currency=USD","Period=FQ","BEST_FPERIOD_OVERRIDE=FQ","FILING_STATUS=OR","Sort=A","Dates=H","DateFormat=P","Fill=—","Direction=H","UseDPDF=Y")</f>
        <v>-3.8582999999999998</v>
      </c>
      <c r="O26" s="14">
        <f>_xll.BDH("AMZN US Equity","BOOK_VAL_PER_SH","FQ1 2002","FQ1 2002","Currency=USD","Period=FQ","BEST_FPERIOD_OVERRIDE=FQ","FILING_STATUS=OR","Sort=A","Dates=H","DateFormat=P","Fill=—","Direction=H","UseDPDF=Y")</f>
        <v>-3.8585000000000003</v>
      </c>
      <c r="P26" s="14">
        <f>_xll.BDH("AMZN US Equity","BOOK_VAL_PER_SH","FQ2 2002","FQ2 2002","Currency=USD","Period=FQ","BEST_FPERIOD_OVERRIDE=FQ","FILING_STATUS=OR","Sort=A","Dates=H","DateFormat=P","Fill=—","Direction=H","UseDPDF=Y")</f>
        <v>-3.7967</v>
      </c>
      <c r="Q26" s="14">
        <f>_xll.BDH("AMZN US Equity","BOOK_VAL_PER_SH","FQ3 2002","FQ3 2002","Currency=USD","Period=FQ","BEST_FPERIOD_OVERRIDE=FQ","FILING_STATUS=OR","Sort=A","Dates=H","DateFormat=P","Fill=—","Direction=H","UseDPDF=Y")</f>
        <v>-3.8782000000000001</v>
      </c>
      <c r="R26" s="14">
        <f>_xll.BDH("AMZN US Equity","BOOK_VAL_PER_SH","FQ4 2002","FQ4 2002","Currency=USD","Period=FQ","BEST_FPERIOD_OVERRIDE=FQ","FILING_STATUS=OR","Sort=A","Dates=H","DateFormat=P","Fill=—","Direction=H","UseDPDF=Y")</f>
        <v>-3.4874999999999998</v>
      </c>
      <c r="S26" s="14">
        <f>_xll.BDH("AMZN US Equity","BOOK_VAL_PER_SH","FQ1 2003","FQ1 2003","Currency=USD","Period=FQ","BEST_FPERIOD_OVERRIDE=FQ","FILING_STATUS=OR","Sort=A","Dates=H","DateFormat=P","Fill=—","Direction=H","UseDPDF=Y")</f>
        <v>-3.2917000000000001</v>
      </c>
      <c r="T26" s="14">
        <f>_xll.BDH("AMZN US Equity","BOOK_VAL_PER_SH","FQ2 2003","FQ2 2003","Currency=USD","Period=FQ","BEST_FPERIOD_OVERRIDE=FQ","FILING_STATUS=OR","Sort=A","Dates=H","DateFormat=P","Fill=—","Direction=H","UseDPDF=Y")</f>
        <v>-3.1427999999999998</v>
      </c>
      <c r="U26" s="14">
        <f>_xll.BDH("AMZN US Equity","BOOK_VAL_PER_SH","FQ3 2003","FQ3 2003","Currency=USD","Period=FQ","BEST_FPERIOD_OVERRIDE=FQ","FILING_STATUS=OR","Sort=A","Dates=H","DateFormat=P","Fill=—","Direction=H","UseDPDF=Y")</f>
        <v>-2.8919999999999999</v>
      </c>
      <c r="V26" s="14">
        <f>_xll.BDH("AMZN US Equity","BOOK_VAL_PER_SH","FQ4 2003","FQ4 2003","Currency=USD","Period=FQ","BEST_FPERIOD_OVERRIDE=FQ","FILING_STATUS=OR","Sort=A","Dates=H","DateFormat=P","Fill=—","Direction=H","UseDPDF=Y")</f>
        <v>-2.5686999999999998</v>
      </c>
      <c r="W26" s="14">
        <f>_xll.BDH("AMZN US Equity","BOOK_VAL_PER_SH","FQ1 2004","FQ1 2004","Currency=USD","Period=FQ","BEST_FPERIOD_OVERRIDE=FQ","FILING_STATUS=OR","Sort=A","Dates=H","DateFormat=P","Fill=—","Direction=H","UseDPDF=Y")</f>
        <v>-2.2353000000000001</v>
      </c>
      <c r="X26" s="14">
        <f>_xll.BDH("AMZN US Equity","BOOK_VAL_PER_SH","FQ2 2004","FQ2 2004","Currency=USD","Period=FQ","BEST_FPERIOD_OVERRIDE=FQ","FILING_STATUS=OR","Sort=A","Dates=H","DateFormat=P","Fill=—","Direction=H","UseDPDF=Y")</f>
        <v>-1.9445000000000001</v>
      </c>
      <c r="Y26" s="14">
        <f>_xll.BDH("AMZN US Equity","BOOK_VAL_PER_SH","FQ3 2004","FQ3 2004","Currency=USD","Period=FQ","BEST_FPERIOD_OVERRIDE=FQ","FILING_STATUS=OR","Sort=A","Dates=H","DateFormat=P","Fill=—","Direction=H","UseDPDF=Y")</f>
        <v>-1.7697000000000001</v>
      </c>
      <c r="Z26" s="14">
        <f>_xll.BDH("AMZN US Equity","BOOK_VAL_PER_SH","FQ4 2004","FQ4 2004","Currency=USD","Period=FQ","BEST_FPERIOD_OVERRIDE=FQ","FILING_STATUS=OR","Sort=A","Dates=H","DateFormat=P","Fill=—","Direction=H","UseDPDF=Y")</f>
        <v>-0.55459999999999998</v>
      </c>
      <c r="AA26" s="14">
        <f>_xll.BDH("AMZN US Equity","BOOK_VAL_PER_SH","FQ1 2005","FQ1 2005","Currency=USD","Period=FQ","BEST_FPERIOD_OVERRIDE=FQ","FILING_STATUS=OR","Sort=A","Dates=H","DateFormat=P","Fill=—","Direction=H","UseDPDF=Y")</f>
        <v>-0.39419999999999999</v>
      </c>
      <c r="AB26" s="14">
        <f>_xll.BDH("AMZN US Equity","BOOK_VAL_PER_SH","FQ2 2005","FQ2 2005","Currency=USD","Period=FQ","BEST_FPERIOD_OVERRIDE=FQ","FILING_STATUS=OR","Sort=A","Dates=H","DateFormat=P","Fill=—","Direction=H","UseDPDF=Y")</f>
        <v>-0.15529999999999999</v>
      </c>
      <c r="AC26" s="14">
        <f>_xll.BDH("AMZN US Equity","BOOK_VAL_PER_SH","FQ3 2005","FQ3 2005","Currency=USD","Period=FQ","BEST_FPERIOD_OVERRIDE=FQ","FILING_STATUS=OR","Sort=A","Dates=H","DateFormat=P","Fill=—","Direction=H","UseDPDF=Y")</f>
        <v>1.4500000000000001E-2</v>
      </c>
      <c r="AD26" s="14">
        <f>_xll.BDH("AMZN US Equity","BOOK_VAL_PER_SH","FQ4 2005","FQ4 2005","Currency=USD","Period=FQ","BEST_FPERIOD_OVERRIDE=FQ","FILING_STATUS=OR","Sort=A","Dates=H","DateFormat=P","Fill=—","Direction=H","UseDPDF=Y")</f>
        <v>0.59130000000000005</v>
      </c>
      <c r="AE26" s="14">
        <f>_xll.BDH("AMZN US Equity","BOOK_VAL_PER_SH","FQ1 2006","FQ1 2006","Currency=USD","Period=FQ","BEST_FPERIOD_OVERRIDE=FQ","FILING_STATUS=OR","Sort=A","Dates=H","DateFormat=P","Fill=—","Direction=H","UseDPDF=Y")</f>
        <v>0.77700000000000002</v>
      </c>
      <c r="AF26" s="14">
        <f>_xll.BDH("AMZN US Equity","BOOK_VAL_PER_SH","FQ2 2006","FQ2 2006","Currency=USD","Period=FQ","BEST_FPERIOD_OVERRIDE=FQ","FILING_STATUS=OR","Sort=A","Dates=H","DateFormat=P","Fill=—","Direction=H","UseDPDF=Y")</f>
        <v>0.91410000000000002</v>
      </c>
      <c r="AG26" s="14">
        <f>_xll.BDH("AMZN US Equity","BOOK_VAL_PER_SH","FQ3 2006","FQ3 2006","Currency=USD","Period=FQ","BEST_FPERIOD_OVERRIDE=FQ","FILING_STATUS=OR","Sort=A","Dates=H","DateFormat=P","Fill=—","Direction=H","UseDPDF=Y")</f>
        <v>0.47689999999999999</v>
      </c>
      <c r="AH26" s="14">
        <f>_xll.BDH("AMZN US Equity","BOOK_VAL_PER_SH","FQ4 2006","FQ4 2006","Currency=USD","Period=FQ","BEST_FPERIOD_OVERRIDE=FQ","FILING_STATUS=OR","Sort=A","Dates=H","DateFormat=P","Fill=—","Direction=H","UseDPDF=Y")</f>
        <v>1.0410999999999999</v>
      </c>
      <c r="AI26" s="14">
        <f>_xll.BDH("AMZN US Equity","BOOK_VAL_PER_SH","FQ1 2007","FQ1 2007","Currency=USD","Period=FQ","BEST_FPERIOD_OVERRIDE=FQ","FILING_STATUS=OR","Sort=A","Dates=H","DateFormat=P","Fill=—","Direction=H","UseDPDF=Y")</f>
        <v>0.86309999999999998</v>
      </c>
      <c r="AJ26" s="14">
        <f>_xll.BDH("AMZN US Equity","BOOK_VAL_PER_SH","FQ2 2007","FQ2 2007","Currency=USD","Period=FQ","BEST_FPERIOD_OVERRIDE=FQ","FILING_STATUS=OR","Sort=A","Dates=H","DateFormat=P","Fill=—","Direction=H","UseDPDF=Y")</f>
        <v>1.3317000000000001</v>
      </c>
      <c r="AK26" s="14">
        <f>_xll.BDH("AMZN US Equity","BOOK_VAL_PER_SH","FQ3 2007","FQ3 2007","Currency=USD","Period=FQ","BEST_FPERIOD_OVERRIDE=FQ","FILING_STATUS=OR","Sort=A","Dates=H","DateFormat=P","Fill=—","Direction=H","UseDPDF=Y")</f>
        <v>1.8336999999999999</v>
      </c>
      <c r="AL26" s="14">
        <f>_xll.BDH("AMZN US Equity","BOOK_VAL_PER_SH","FQ4 2007","FQ4 2007","Currency=USD","Period=FQ","BEST_FPERIOD_OVERRIDE=FQ","FILING_STATUS=OR","Sort=A","Dates=H","DateFormat=P","Fill=—","Direction=H","UseDPDF=Y")</f>
        <v>2.7772999999999999</v>
      </c>
      <c r="AM26" s="14">
        <f>_xll.BDH("AMZN US Equity","BOOK_VAL_PER_SH","FQ1 2008","FQ1 2008","Currency=USD","Period=FQ","BEST_FPERIOD_OVERRIDE=FQ","FILING_STATUS=OR","Sort=A","Dates=H","DateFormat=P","Fill=—","Direction=H","UseDPDF=Y")</f>
        <v>3.5251999999999999</v>
      </c>
      <c r="AN26" s="14">
        <f>_xll.BDH("AMZN US Equity","BOOK_VAL_PER_SH","FQ2 2008","FQ2 2008","Currency=USD","Period=FQ","BEST_FPERIOD_OVERRIDE=FQ","FILING_STATUS=OR","Sort=A","Dates=H","DateFormat=P","Fill=—","Direction=H","UseDPDF=Y")</f>
        <v>5.2347000000000001</v>
      </c>
      <c r="AO26" s="14">
        <f>_xll.BDH("AMZN US Equity","BOOK_VAL_PER_SH","FQ3 2008","FQ3 2008","Currency=USD","Period=FQ","BEST_FPERIOD_OVERRIDE=FQ","FILING_STATUS=OR","Sort=A","Dates=H","DateFormat=P","Fill=—","Direction=H","UseDPDF=Y")</f>
        <v>5.8903999999999996</v>
      </c>
      <c r="AP26" s="14">
        <f>_xll.BDH("AMZN US Equity","BOOK_VAL_PER_SH","FQ4 2008","FQ4 2008","Currency=USD","Period=FQ","BEST_FPERIOD_OVERRIDE=FQ","FILING_STATUS=OR","Sort=A","Dates=H","DateFormat=P","Fill=—","Direction=H","UseDPDF=Y")</f>
        <v>6.2430000000000003</v>
      </c>
    </row>
    <row r="27" spans="1:42" x14ac:dyDescent="0.25">
      <c r="A27" s="10" t="s">
        <v>394</v>
      </c>
      <c r="B27" s="10" t="s">
        <v>395</v>
      </c>
      <c r="C27" s="14">
        <f>_xll.BDH("AMZN US Equity","TANG_BOOK_VAL_PER_SH","FQ4 1998","FQ4 1998","Currency=USD","Period=FQ","BEST_FPERIOD_OVERRIDE=FQ","FILING_STATUS=OR","Sort=A","Dates=H","DateFormat=P","Fill=—","Direction=H","UseDPDF=Y")</f>
        <v>-0.14949999999999999</v>
      </c>
      <c r="D27" s="14">
        <f>_xll.BDH("AMZN US Equity","TANG_BOOK_VAL_PER_SH","FQ1 1999","FQ1 1999","Currency=USD","Period=FQ","BEST_FPERIOD_OVERRIDE=FQ","FILING_STATUS=OR","Sort=A","Dates=H","DateFormat=P","Fill=—","Direction=H","UseDPDF=Y")</f>
        <v>-0.33979999999999999</v>
      </c>
      <c r="E27" s="14">
        <f>_xll.BDH("AMZN US Equity","TANG_BOOK_VAL_PER_SH","FQ2 1999","FQ2 1999","Currency=USD","Period=FQ","BEST_FPERIOD_OVERRIDE=FQ","FILING_STATUS=OR","Sort=A","Dates=H","DateFormat=P","Fill=—","Direction=H","UseDPDF=Y")</f>
        <v>-0.25590000000000002</v>
      </c>
      <c r="F27" s="14">
        <f>_xll.BDH("AMZN US Equity","TANG_BOOK_VAL_PER_SH","FQ3 1999","FQ3 1999","Currency=USD","Period=FQ","BEST_FPERIOD_OVERRIDE=FQ","FILING_STATUS=OR","Sort=A","Dates=H","DateFormat=P","Fill=—","Direction=H","UseDPDF=Y")</f>
        <v>-0.83930000000000005</v>
      </c>
      <c r="G27" s="14">
        <f>_xll.BDH("AMZN US Equity","TANG_BOOK_VAL_PER_SH","FQ4 1999","FQ4 1999","Currency=USD","Period=FQ","BEST_FPERIOD_OVERRIDE=FQ","FILING_STATUS=OR","Sort=A","Dates=H","DateFormat=P","Fill=—","Direction=H","UseDPDF=Y")</f>
        <v>-0.77769999999999995</v>
      </c>
      <c r="H27" s="14">
        <f>_xll.BDH("AMZN US Equity","TANG_BOOK_VAL_PER_SH","FQ1 2000","FQ1 2000","Currency=USD","Period=FQ","BEST_FPERIOD_OVERRIDE=FQ","FILING_STATUS=OR","Sort=A","Dates=H","DateFormat=P","Fill=—","Direction=H","UseDPDF=Y")</f>
        <v>-1.7761</v>
      </c>
      <c r="I27" s="14">
        <f>_xll.BDH("AMZN US Equity","TANG_BOOK_VAL_PER_SH","FQ3 2000","FQ3 2000","Currency=USD","Period=FQ","BEST_FPERIOD_OVERRIDE=FQ","FILING_STATUS=OR","Sort=A","Dates=H","DateFormat=P","Fill=—","Direction=H","UseDPDF=Y")</f>
        <v>-2.8296000000000001</v>
      </c>
      <c r="J27" s="14">
        <f>_xll.BDH("AMZN US Equity","TANG_BOOK_VAL_PER_SH","FQ4 2000","FQ4 2000","Currency=USD","Period=FQ","BEST_FPERIOD_OVERRIDE=FQ","FILING_STATUS=OR","Sort=A","Dates=H","DateFormat=P","Fill=—","Direction=H","UseDPDF=Y")</f>
        <v>-3.4232</v>
      </c>
      <c r="K27" s="14">
        <f>_xll.BDH("AMZN US Equity","TANG_BOOK_VAL_PER_SH","FQ1 2001","FQ1 2001","Currency=USD","Period=FQ","BEST_FPERIOD_OVERRIDE=FQ","FILING_STATUS=OR","Sort=A","Dates=H","DateFormat=P","Fill=—","Direction=H","UseDPDF=Y")</f>
        <v>-4.0625</v>
      </c>
      <c r="L27" s="14">
        <f>_xll.BDH("AMZN US Equity","TANG_BOOK_VAL_PER_SH","FQ2 2001","FQ2 2001","Currency=USD","Period=FQ","BEST_FPERIOD_OVERRIDE=FQ","FILING_STATUS=OR","Sort=A","Dates=H","DateFormat=P","Fill=—","Direction=H","UseDPDF=Y")</f>
        <v>-4.3700999999999999</v>
      </c>
      <c r="M27" s="14">
        <f>_xll.BDH("AMZN US Equity","TANG_BOOK_VAL_PER_SH","FQ3 2001","FQ3 2001","Currency=USD","Period=FQ","BEST_FPERIOD_OVERRIDE=FQ","FILING_STATUS=OR","Sort=A","Dates=H","DateFormat=P","Fill=—","Direction=H","UseDPDF=Y")</f>
        <v>-4.2097999999999995</v>
      </c>
      <c r="N27" s="14">
        <f>_xll.BDH("AMZN US Equity","TANG_BOOK_VAL_PER_SH","FQ4 2001","FQ4 2001","Currency=USD","Period=FQ","BEST_FPERIOD_OVERRIDE=FQ","FILING_STATUS=OR","Sort=A","Dates=H","DateFormat=P","Fill=—","Direction=H","UseDPDF=Y")</f>
        <v>-4.0720000000000001</v>
      </c>
      <c r="O27" s="14">
        <f>_xll.BDH("AMZN US Equity","TANG_BOOK_VAL_PER_SH","FQ1 2002","FQ1 2002","Currency=USD","Period=FQ","BEST_FPERIOD_OVERRIDE=FQ","FILING_STATUS=OR","Sort=A","Dates=H","DateFormat=P","Fill=—","Direction=H","UseDPDF=Y")</f>
        <v>-4.0659000000000001</v>
      </c>
      <c r="P27" s="14">
        <f>_xll.BDH("AMZN US Equity","TANG_BOOK_VAL_PER_SH","FQ2 2002","FQ2 2002","Currency=USD","Period=FQ","BEST_FPERIOD_OVERRIDE=FQ","FILING_STATUS=OR","Sort=A","Dates=H","DateFormat=P","Fill=—","Direction=H","UseDPDF=Y")</f>
        <v>-3.9976000000000003</v>
      </c>
      <c r="Q27" s="14">
        <f>_xll.BDH("AMZN US Equity","TANG_BOOK_VAL_PER_SH","FQ3 2002","FQ3 2002","Currency=USD","Period=FQ","BEST_FPERIOD_OVERRIDE=FQ","FILING_STATUS=OR","Sort=A","Dates=H","DateFormat=P","Fill=—","Direction=H","UseDPDF=Y")</f>
        <v>-4.0754000000000001</v>
      </c>
      <c r="R27" s="14">
        <f>_xll.BDH("AMZN US Equity","TANG_BOOK_VAL_PER_SH","FQ4 2002","FQ4 2002","Currency=USD","Period=FQ","BEST_FPERIOD_OVERRIDE=FQ","FILING_STATUS=OR","Sort=A","Dates=H","DateFormat=P","Fill=—","Direction=H","UseDPDF=Y")</f>
        <v>-3.6789000000000001</v>
      </c>
      <c r="S27" s="14">
        <f>_xll.BDH("AMZN US Equity","TANG_BOOK_VAL_PER_SH","FQ1 2003","FQ1 2003","Currency=USD","Period=FQ","BEST_FPERIOD_OVERRIDE=FQ","FILING_STATUS=OR","Sort=A","Dates=H","DateFormat=P","Fill=—","Direction=H","UseDPDF=Y")</f>
        <v>-3.4790000000000001</v>
      </c>
      <c r="T27" s="14">
        <f>_xll.BDH("AMZN US Equity","TANG_BOOK_VAL_PER_SH","FQ2 2003","FQ2 2003","Currency=USD","Period=FQ","BEST_FPERIOD_OVERRIDE=FQ","FILING_STATUS=OR","Sort=A","Dates=H","DateFormat=P","Fill=—","Direction=H","UseDPDF=Y")</f>
        <v>-3.3254000000000001</v>
      </c>
      <c r="U27" s="14">
        <f>_xll.BDH("AMZN US Equity","TANG_BOOK_VAL_PER_SH","FQ3 2003","FQ3 2003","Currency=USD","Period=FQ","BEST_FPERIOD_OVERRIDE=FQ","FILING_STATUS=OR","Sort=A","Dates=H","DateFormat=P","Fill=—","Direction=H","UseDPDF=Y")</f>
        <v>-3.0663</v>
      </c>
      <c r="V27" s="14">
        <f>_xll.BDH("AMZN US Equity","TANG_BOOK_VAL_PER_SH","FQ4 2003","FQ4 2003","Currency=USD","Period=FQ","BEST_FPERIOD_OVERRIDE=FQ","FILING_STATUS=OR","Sort=A","Dates=H","DateFormat=P","Fill=—","Direction=H","UseDPDF=Y")</f>
        <v>-2.7414000000000001</v>
      </c>
      <c r="W27" s="14">
        <f>_xll.BDH("AMZN US Equity","TANG_BOOK_VAL_PER_SH","FQ1 2004","FQ1 2004","Currency=USD","Period=FQ","BEST_FPERIOD_OVERRIDE=FQ","FILING_STATUS=OR","Sort=A","Dates=H","DateFormat=P","Fill=—","Direction=H","UseDPDF=Y")</f>
        <v>-2.4060000000000001</v>
      </c>
      <c r="X27" s="14">
        <f>_xll.BDH("AMZN US Equity","TANG_BOOK_VAL_PER_SH","FQ2 2004","FQ2 2004","Currency=USD","Period=FQ","BEST_FPERIOD_OVERRIDE=FQ","FILING_STATUS=OR","Sort=A","Dates=H","DateFormat=P","Fill=—","Direction=H","UseDPDF=Y")</f>
        <v>-2.1145</v>
      </c>
      <c r="Y27" s="14">
        <f>_xll.BDH("AMZN US Equity","TANG_BOOK_VAL_PER_SH","FQ3 2004","FQ3 2004","Currency=USD","Period=FQ","BEST_FPERIOD_OVERRIDE=FQ","FILING_STATUS=OR","Sort=A","Dates=H","DateFormat=P","Fill=—","Direction=H","UseDPDF=Y")</f>
        <v>-2.1073</v>
      </c>
      <c r="Z27" s="14">
        <f>_xll.BDH("AMZN US Equity","TANG_BOOK_VAL_PER_SH","FQ4 2004","FQ4 2004","Currency=USD","Period=FQ","BEST_FPERIOD_OVERRIDE=FQ","FILING_STATUS=OR","Sort=A","Dates=H","DateFormat=P","Fill=—","Direction=H","UseDPDF=Y")</f>
        <v>-0.89380000000000004</v>
      </c>
      <c r="AA27" s="14">
        <f>_xll.BDH("AMZN US Equity","TANG_BOOK_VAL_PER_SH","FQ1 2005","FQ1 2005","Currency=USD","Period=FQ","BEST_FPERIOD_OVERRIDE=FQ","FILING_STATUS=OR","Sort=A","Dates=H","DateFormat=P","Fill=—","Direction=H","UseDPDF=Y")</f>
        <v>-0.78759999999999997</v>
      </c>
      <c r="AB27" s="14">
        <f>_xll.BDH("AMZN US Equity","TANG_BOOK_VAL_PER_SH","FQ2 2005","FQ2 2005","Currency=USD","Period=FQ","BEST_FPERIOD_OVERRIDE=FQ","FILING_STATUS=OR","Sort=A","Dates=H","DateFormat=P","Fill=—","Direction=H","UseDPDF=Y")</f>
        <v>-0.52910000000000001</v>
      </c>
      <c r="AC27" s="14">
        <f>_xll.BDH("AMZN US Equity","TANG_BOOK_VAL_PER_SH","FQ3 2005","FQ3 2005","Currency=USD","Period=FQ","BEST_FPERIOD_OVERRIDE=FQ","FILING_STATUS=OR","Sort=A","Dates=H","DateFormat=P","Fill=—","Direction=H","UseDPDF=Y")</f>
        <v>-0.36959999999999998</v>
      </c>
      <c r="AD27" s="14">
        <f>_xll.BDH("AMZN US Equity","TANG_BOOK_VAL_PER_SH","FQ4 2005","FQ4 2005","Currency=USD","Period=FQ","BEST_FPERIOD_OVERRIDE=FQ","FILING_STATUS=OR","Sort=A","Dates=H","DateFormat=P","Fill=—","Direction=H","UseDPDF=Y")</f>
        <v>0.1827</v>
      </c>
      <c r="AE27" s="14">
        <f>_xll.BDH("AMZN US Equity","TANG_BOOK_VAL_PER_SH","FQ1 2006","FQ1 2006","Currency=USD","Period=FQ","BEST_FPERIOD_OVERRIDE=FQ","FILING_STATUS=OR","Sort=A","Dates=H","DateFormat=P","Fill=—","Direction=H","UseDPDF=Y")</f>
        <v>0.31409999999999999</v>
      </c>
      <c r="AF27" s="14">
        <f>_xll.BDH("AMZN US Equity","TANG_BOOK_VAL_PER_SH","FQ2 2006","FQ2 2006","Currency=USD","Period=FQ","BEST_FPERIOD_OVERRIDE=FQ","FILING_STATUS=OR","Sort=A","Dates=H","DateFormat=P","Fill=—","Direction=H","UseDPDF=Y")</f>
        <v>0.45350000000000001</v>
      </c>
      <c r="AG27" s="14">
        <f>_xll.BDH("AMZN US Equity","TANG_BOOK_VAL_PER_SH","FQ3 2006","FQ3 2006","Currency=USD","Period=FQ","BEST_FPERIOD_OVERRIDE=FQ","FILING_STATUS=OR","Sort=A","Dates=H","DateFormat=P","Fill=—","Direction=H","UseDPDF=Y")</f>
        <v>4.8999999999999998E-3</v>
      </c>
      <c r="AH27" s="14">
        <f>_xll.BDH("AMZN US Equity","TANG_BOOK_VAL_PER_SH","FQ4 2006","FQ4 2006","Currency=USD","Period=FQ","BEST_FPERIOD_OVERRIDE=FQ","FILING_STATUS=OR","Sort=A","Dates=H","DateFormat=P","Fill=—","Direction=H","UseDPDF=Y")</f>
        <v>0.56999999999999995</v>
      </c>
      <c r="AI27" s="14">
        <f>_xll.BDH("AMZN US Equity","TANG_BOOK_VAL_PER_SH","FQ1 2007","FQ1 2007","Currency=USD","Period=FQ","BEST_FPERIOD_OVERRIDE=FQ","FILING_STATUS=OR","Sort=A","Dates=H","DateFormat=P","Fill=—","Direction=H","UseDPDF=Y")</f>
        <v>0.38390000000000002</v>
      </c>
      <c r="AJ27" s="14">
        <f>_xll.BDH("AMZN US Equity","TANG_BOOK_VAL_PER_SH","FQ2 2007","FQ2 2007","Currency=USD","Period=FQ","BEST_FPERIOD_OVERRIDE=FQ","FILING_STATUS=OR","Sort=A","Dates=H","DateFormat=P","Fill=—","Direction=H","UseDPDF=Y")</f>
        <v>0.81359999999999999</v>
      </c>
      <c r="AK27" s="14">
        <f>_xll.BDH("AMZN US Equity","TANG_BOOK_VAL_PER_SH","FQ3 2007","FQ3 2007","Currency=USD","Period=FQ","BEST_FPERIOD_OVERRIDE=FQ","FILING_STATUS=OR","Sort=A","Dates=H","DateFormat=P","Fill=—","Direction=H","UseDPDF=Y")</f>
        <v>1.3084</v>
      </c>
      <c r="AL27" s="14">
        <f>_xll.BDH("AMZN US Equity","TANG_BOOK_VAL_PER_SH","FQ4 2007","FQ4 2007","Currency=USD","Period=FQ","BEST_FPERIOD_OVERRIDE=FQ","FILING_STATUS=OR","Sort=A","Dates=H","DateFormat=P","Fill=—","Direction=H","UseDPDF=Y")</f>
        <v>2.2622</v>
      </c>
      <c r="AM27" s="14">
        <f>_xll.BDH("AMZN US Equity","TANG_BOOK_VAL_PER_SH","FQ1 2008","FQ1 2008","Currency=USD","Period=FQ","BEST_FPERIOD_OVERRIDE=FQ","FILING_STATUS=OR","Sort=A","Dates=H","DateFormat=P","Fill=—","Direction=H","UseDPDF=Y")</f>
        <v>2.5850999999999997</v>
      </c>
      <c r="AN27" s="14">
        <f>_xll.BDH("AMZN US Equity","TANG_BOOK_VAL_PER_SH","FQ2 2008","FQ2 2008","Currency=USD","Period=FQ","BEST_FPERIOD_OVERRIDE=FQ","FILING_STATUS=OR","Sort=A","Dates=H","DateFormat=P","Fill=—","Direction=H","UseDPDF=Y")</f>
        <v>4.2957999999999998</v>
      </c>
      <c r="AO27" s="14">
        <f>_xll.BDH("AMZN US Equity","TANG_BOOK_VAL_PER_SH","FQ3 2008","FQ3 2008","Currency=USD","Period=FQ","BEST_FPERIOD_OVERRIDE=FQ","FILING_STATUS=OR","Sort=A","Dates=H","DateFormat=P","Fill=—","Direction=H","UseDPDF=Y")</f>
        <v>4.9463999999999997</v>
      </c>
      <c r="AP27" s="14">
        <f>_xll.BDH("AMZN US Equity","TANG_BOOK_VAL_PER_SH","FQ4 2008","FQ4 2008","Currency=USD","Period=FQ","BEST_FPERIOD_OVERRIDE=FQ","FILING_STATUS=OR","Sort=A","Dates=H","DateFormat=P","Fill=—","Direction=H","UseDPDF=Y")</f>
        <v>5.2195999999999998</v>
      </c>
    </row>
    <row r="28" spans="1:42" x14ac:dyDescent="0.25">
      <c r="A28" s="7" t="s">
        <v>177</v>
      </c>
      <c r="B28" s="7"/>
      <c r="C28" s="7" t="s">
        <v>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396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298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49</v>
      </c>
      <c r="D5" s="5" t="s">
        <v>50</v>
      </c>
      <c r="E5" s="5" t="s">
        <v>51</v>
      </c>
      <c r="F5" s="5" t="s">
        <v>52</v>
      </c>
      <c r="G5" s="5" t="s">
        <v>53</v>
      </c>
      <c r="H5" s="5" t="s">
        <v>299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397</v>
      </c>
      <c r="B6" s="6" t="s">
        <v>398</v>
      </c>
      <c r="C6" s="17">
        <f>_xll.BDH("AMZN US Equity","PX_LAST","FQ1 1999","FQ1 1999","Currency=USD","Period=FQ","BEST_FPERIOD_OVERRIDE=FQ","FILING_STATUS=OR","Sort=A","Dates=H","DateFormat=P","Fill=—","Direction=H","UseDPDF=Y")</f>
        <v>86.093999999999994</v>
      </c>
      <c r="D6" s="17">
        <f>_xll.BDH("AMZN US Equity","PX_LAST","FQ2 1999","FQ2 1999","Currency=USD","Period=FQ","BEST_FPERIOD_OVERRIDE=FQ","FILING_STATUS=OR","Sort=A","Dates=H","DateFormat=P","Fill=—","Direction=H","UseDPDF=Y")</f>
        <v>62.563000000000002</v>
      </c>
      <c r="E6" s="17">
        <f>_xll.BDH("AMZN US Equity","PX_LAST","FQ3 1999","FQ3 1999","Currency=USD","Period=FQ","BEST_FPERIOD_OVERRIDE=FQ","FILING_STATUS=OR","Sort=A","Dates=H","DateFormat=P","Fill=—","Direction=H","UseDPDF=Y")</f>
        <v>79.938000000000002</v>
      </c>
      <c r="F6" s="17">
        <f>_xll.BDH("AMZN US Equity","PX_LAST","FQ4 1999","FQ4 1999","Currency=USD","Period=FQ","BEST_FPERIOD_OVERRIDE=FQ","FILING_STATUS=OR","Sort=A","Dates=H","DateFormat=P","Fill=—","Direction=H","UseDPDF=Y")</f>
        <v>76.125</v>
      </c>
      <c r="G6" s="17">
        <f>_xll.BDH("AMZN US Equity","PX_LAST","FQ1 2000","FQ1 2000","Currency=USD","Period=FQ","BEST_FPERIOD_OVERRIDE=FQ","FILING_STATUS=OR","Sort=A","Dates=H","DateFormat=P","Fill=—","Direction=H","UseDPDF=Y")</f>
        <v>67</v>
      </c>
      <c r="H6" s="17">
        <f>_xll.BDH("AMZN US Equity","PX_LAST","FQ2 2000","FQ2 2000","Currency=USD","Period=FQ","BEST_FPERIOD_OVERRIDE=FQ","FILING_STATUS=OR","Sort=A","Dates=H","DateFormat=P","Fill=—","Direction=H","UseDPDF=Y")</f>
        <v>36.313000000000002</v>
      </c>
      <c r="I6" s="17">
        <f>_xll.BDH("AMZN US Equity","PX_LAST","FQ3 2000","FQ3 2000","Currency=USD","Period=FQ","BEST_FPERIOD_OVERRIDE=FQ","FILING_STATUS=OR","Sort=A","Dates=H","DateFormat=P","Fill=—","Direction=H","UseDPDF=Y")</f>
        <v>38.438000000000002</v>
      </c>
      <c r="J6" s="17">
        <f>_xll.BDH("AMZN US Equity","PX_LAST","FQ4 2000","FQ4 2000","Currency=USD","Period=FQ","BEST_FPERIOD_OVERRIDE=FQ","FILING_STATUS=OR","Sort=A","Dates=H","DateFormat=P","Fill=—","Direction=H","UseDPDF=Y")</f>
        <v>15.563000000000001</v>
      </c>
      <c r="K6" s="17">
        <f>_xll.BDH("AMZN US Equity","PX_LAST","FQ1 2001","FQ1 2001","Currency=USD","Period=FQ","BEST_FPERIOD_OVERRIDE=FQ","FILING_STATUS=OR","Sort=A","Dates=H","DateFormat=P","Fill=—","Direction=H","UseDPDF=Y")</f>
        <v>10.23</v>
      </c>
      <c r="L6" s="17">
        <f>_xll.BDH("AMZN US Equity","PX_LAST","FQ2 2001","FQ2 2001","Currency=USD","Period=FQ","BEST_FPERIOD_OVERRIDE=FQ","FILING_STATUS=OR","Sort=A","Dates=H","DateFormat=P","Fill=—","Direction=H","UseDPDF=Y")</f>
        <v>14.15</v>
      </c>
      <c r="M6" s="17">
        <f>_xll.BDH("AMZN US Equity","PX_LAST","FQ3 2001","FQ3 2001","Currency=USD","Period=FQ","BEST_FPERIOD_OVERRIDE=FQ","FILING_STATUS=OR","Sort=A","Dates=H","DateFormat=P","Fill=—","Direction=H","UseDPDF=Y")</f>
        <v>5.97</v>
      </c>
      <c r="N6" s="17">
        <f>_xll.BDH("AMZN US Equity","PX_LAST","FQ4 2001","FQ4 2001","Currency=USD","Period=FQ","BEST_FPERIOD_OVERRIDE=FQ","FILING_STATUS=OR","Sort=A","Dates=H","DateFormat=P","Fill=—","Direction=H","UseDPDF=Y")</f>
        <v>10.82</v>
      </c>
      <c r="O6" s="17">
        <f>_xll.BDH("AMZN US Equity","PX_LAST","FQ1 2002","FQ1 2002","Currency=USD","Period=FQ","BEST_FPERIOD_OVERRIDE=FQ","FILING_STATUS=OR","Sort=A","Dates=H","DateFormat=P","Fill=—","Direction=H","UseDPDF=Y")</f>
        <v>14.3</v>
      </c>
      <c r="P6" s="17">
        <f>_xll.BDH("AMZN US Equity","PX_LAST","FQ2 2002","FQ2 2002","Currency=USD","Period=FQ","BEST_FPERIOD_OVERRIDE=FQ","FILING_STATUS=OR","Sort=A","Dates=H","DateFormat=P","Fill=—","Direction=H","UseDPDF=Y")</f>
        <v>16.25</v>
      </c>
      <c r="Q6" s="17">
        <f>_xll.BDH("AMZN US Equity","PX_LAST","FQ3 2002","FQ3 2002","Currency=USD","Period=FQ","BEST_FPERIOD_OVERRIDE=FQ","FILING_STATUS=OR","Sort=A","Dates=H","DateFormat=P","Fill=—","Direction=H","UseDPDF=Y")</f>
        <v>15.93</v>
      </c>
      <c r="R6" s="17">
        <f>_xll.BDH("AMZN US Equity","PX_LAST","FQ4 2002","FQ4 2002","Currency=USD","Period=FQ","BEST_FPERIOD_OVERRIDE=FQ","FILING_STATUS=OR","Sort=A","Dates=H","DateFormat=P","Fill=—","Direction=H","UseDPDF=Y")</f>
        <v>18.89</v>
      </c>
      <c r="S6" s="17">
        <f>_xll.BDH("AMZN US Equity","PX_LAST","FQ1 2003","FQ1 2003","Currency=USD","Period=FQ","BEST_FPERIOD_OVERRIDE=FQ","FILING_STATUS=OR","Sort=A","Dates=H","DateFormat=P","Fill=—","Direction=H","UseDPDF=Y")</f>
        <v>26.03</v>
      </c>
      <c r="T6" s="17">
        <f>_xll.BDH("AMZN US Equity","PX_LAST","FQ2 2003","FQ2 2003","Currency=USD","Period=FQ","BEST_FPERIOD_OVERRIDE=FQ","FILING_STATUS=OR","Sort=A","Dates=H","DateFormat=P","Fill=—","Direction=H","UseDPDF=Y")</f>
        <v>36.32</v>
      </c>
      <c r="U6" s="17">
        <f>_xll.BDH("AMZN US Equity","PX_LAST","FQ3 2003","FQ3 2003","Currency=USD","Period=FQ","BEST_FPERIOD_OVERRIDE=FQ","FILING_STATUS=OR","Sort=A","Dates=H","DateFormat=P","Fill=—","Direction=H","UseDPDF=Y")</f>
        <v>48.43</v>
      </c>
      <c r="V6" s="17">
        <f>_xll.BDH("AMZN US Equity","PX_LAST","FQ4 2003","FQ4 2003","Currency=USD","Period=FQ","BEST_FPERIOD_OVERRIDE=FQ","FILING_STATUS=OR","Sort=A","Dates=H","DateFormat=P","Fill=—","Direction=H","UseDPDF=Y")</f>
        <v>52.62</v>
      </c>
      <c r="W6" s="17">
        <f>_xll.BDH("AMZN US Equity","PX_LAST","FQ1 2004","FQ1 2004","Currency=USD","Period=FQ","BEST_FPERIOD_OVERRIDE=FQ","FILING_STATUS=OR","Sort=A","Dates=H","DateFormat=P","Fill=—","Direction=H","UseDPDF=Y")</f>
        <v>43.28</v>
      </c>
      <c r="X6" s="17">
        <f>_xll.BDH("AMZN US Equity","PX_LAST","FQ2 2004","FQ2 2004","Currency=USD","Period=FQ","BEST_FPERIOD_OVERRIDE=FQ","FILING_STATUS=OR","Sort=A","Dates=H","DateFormat=P","Fill=—","Direction=H","UseDPDF=Y")</f>
        <v>54.4</v>
      </c>
      <c r="Y6" s="17">
        <f>_xll.BDH("AMZN US Equity","PX_LAST","FQ3 2004","FQ3 2004","Currency=USD","Period=FQ","BEST_FPERIOD_OVERRIDE=FQ","FILING_STATUS=OR","Sort=A","Dates=H","DateFormat=P","Fill=—","Direction=H","UseDPDF=Y")</f>
        <v>40.86</v>
      </c>
      <c r="Z6" s="17">
        <f>_xll.BDH("AMZN US Equity","PX_LAST","FQ4 2004","FQ4 2004","Currency=USD","Period=FQ","BEST_FPERIOD_OVERRIDE=FQ","FILING_STATUS=OR","Sort=A","Dates=H","DateFormat=P","Fill=—","Direction=H","UseDPDF=Y")</f>
        <v>44.29</v>
      </c>
      <c r="AA6" s="17">
        <f>_xll.BDH("AMZN US Equity","PX_LAST","FQ1 2005","FQ1 2005","Currency=USD","Period=FQ","BEST_FPERIOD_OVERRIDE=FQ","FILING_STATUS=OR","Sort=A","Dates=H","DateFormat=P","Fill=—","Direction=H","UseDPDF=Y")</f>
        <v>34.270000000000003</v>
      </c>
      <c r="AB6" s="17">
        <f>_xll.BDH("AMZN US Equity","PX_LAST","FQ2 2005","FQ2 2005","Currency=USD","Period=FQ","BEST_FPERIOD_OVERRIDE=FQ","FILING_STATUS=OR","Sort=A","Dates=H","DateFormat=P","Fill=—","Direction=H","UseDPDF=Y")</f>
        <v>33.090000000000003</v>
      </c>
      <c r="AC6" s="17">
        <f>_xll.BDH("AMZN US Equity","PX_LAST","FQ3 2005","FQ3 2005","Currency=USD","Period=FQ","BEST_FPERIOD_OVERRIDE=FQ","FILING_STATUS=OR","Sort=A","Dates=H","DateFormat=P","Fill=—","Direction=H","UseDPDF=Y")</f>
        <v>45.3</v>
      </c>
      <c r="AD6" s="17">
        <f>_xll.BDH("AMZN US Equity","PX_LAST","FQ4 2005","FQ4 2005","Currency=USD","Period=FQ","BEST_FPERIOD_OVERRIDE=FQ","FILING_STATUS=OR","Sort=A","Dates=H","DateFormat=P","Fill=—","Direction=H","UseDPDF=Y")</f>
        <v>47.15</v>
      </c>
      <c r="AE6" s="17">
        <f>_xll.BDH("AMZN US Equity","PX_LAST","FQ1 2006","FQ1 2006","Currency=USD","Period=FQ","BEST_FPERIOD_OVERRIDE=FQ","FILING_STATUS=OR","Sort=A","Dates=H","DateFormat=P","Fill=—","Direction=H","UseDPDF=Y")</f>
        <v>36.53</v>
      </c>
      <c r="AF6" s="17">
        <f>_xll.BDH("AMZN US Equity","PX_LAST","FQ2 2006","FQ2 2006","Currency=USD","Period=FQ","BEST_FPERIOD_OVERRIDE=FQ","FILING_STATUS=OR","Sort=A","Dates=H","DateFormat=P","Fill=—","Direction=H","UseDPDF=Y")</f>
        <v>38.68</v>
      </c>
      <c r="AG6" s="17">
        <f>_xll.BDH("AMZN US Equity","PX_LAST","FQ3 2006","FQ3 2006","Currency=USD","Period=FQ","BEST_FPERIOD_OVERRIDE=FQ","FILING_STATUS=OR","Sort=A","Dates=H","DateFormat=P","Fill=—","Direction=H","UseDPDF=Y")</f>
        <v>32.119999999999997</v>
      </c>
      <c r="AH6" s="17">
        <f>_xll.BDH("AMZN US Equity","PX_LAST","FQ4 2006","FQ4 2006","Currency=USD","Period=FQ","BEST_FPERIOD_OVERRIDE=FQ","FILING_STATUS=OR","Sort=A","Dates=H","DateFormat=P","Fill=—","Direction=H","UseDPDF=Y")</f>
        <v>39.46</v>
      </c>
      <c r="AI6" s="17">
        <f>_xll.BDH("AMZN US Equity","PX_LAST","FQ1 2007","FQ1 2007","Currency=USD","Period=FQ","BEST_FPERIOD_OVERRIDE=FQ","FILING_STATUS=OR","Sort=A","Dates=H","DateFormat=P","Fill=—","Direction=H","UseDPDF=Y")</f>
        <v>39.79</v>
      </c>
      <c r="AJ6" s="17">
        <f>_xll.BDH("AMZN US Equity","PX_LAST","FQ2 2007","FQ2 2007","Currency=USD","Period=FQ","BEST_FPERIOD_OVERRIDE=FQ","FILING_STATUS=OR","Sort=A","Dates=H","DateFormat=P","Fill=—","Direction=H","UseDPDF=Y")</f>
        <v>68.41</v>
      </c>
      <c r="AK6" s="17">
        <f>_xll.BDH("AMZN US Equity","PX_LAST","FQ3 2007","FQ3 2007","Currency=USD","Period=FQ","BEST_FPERIOD_OVERRIDE=FQ","FILING_STATUS=OR","Sort=A","Dates=H","DateFormat=P","Fill=—","Direction=H","UseDPDF=Y")</f>
        <v>93.15</v>
      </c>
      <c r="AL6" s="17">
        <f>_xll.BDH("AMZN US Equity","PX_LAST","FQ4 2007","FQ4 2007","Currency=USD","Period=FQ","BEST_FPERIOD_OVERRIDE=FQ","FILING_STATUS=OR","Sort=A","Dates=H","DateFormat=P","Fill=—","Direction=H","UseDPDF=Y")</f>
        <v>92.64</v>
      </c>
      <c r="AM6" s="17">
        <f>_xll.BDH("AMZN US Equity","PX_LAST","FQ1 2008","FQ1 2008","Currency=USD","Period=FQ","BEST_FPERIOD_OVERRIDE=FQ","FILING_STATUS=OR","Sort=A","Dates=H","DateFormat=P","Fill=—","Direction=H","UseDPDF=Y")</f>
        <v>71.3</v>
      </c>
      <c r="AN6" s="17">
        <f>_xll.BDH("AMZN US Equity","PX_LAST","FQ2 2008","FQ2 2008","Currency=USD","Period=FQ","BEST_FPERIOD_OVERRIDE=FQ","FILING_STATUS=OR","Sort=A","Dates=H","DateFormat=P","Fill=—","Direction=H","UseDPDF=Y")</f>
        <v>73.33</v>
      </c>
      <c r="AO6" s="17">
        <f>_xll.BDH("AMZN US Equity","PX_LAST","FQ3 2008","FQ3 2008","Currency=USD","Period=FQ","BEST_FPERIOD_OVERRIDE=FQ","FILING_STATUS=OR","Sort=A","Dates=H","DateFormat=P","Fill=—","Direction=H","UseDPDF=Y")</f>
        <v>72.760000000000005</v>
      </c>
      <c r="AP6" s="17">
        <f>_xll.BDH("AMZN US Equity","PX_LAST","FQ4 2008","FQ4 2008","Currency=USD","Period=FQ","BEST_FPERIOD_OVERRIDE=FQ","FILING_STATUS=OR","Sort=A","Dates=H","DateFormat=P","Fill=—","Direction=H","UseDPDF=Y")</f>
        <v>51.28</v>
      </c>
    </row>
    <row r="7" spans="1:42" x14ac:dyDescent="0.25">
      <c r="A7" s="11" t="s">
        <v>399</v>
      </c>
      <c r="B7" s="11" t="s">
        <v>400</v>
      </c>
      <c r="C7" s="19">
        <f>_xll.BDH("AMZN US Equity","CHG_PCT_PERIOD","FQ1 1999","FQ1 1999","Currency=USD","Period=FQ","BEST_FPERIOD_OVERRIDE=FQ","FILING_STATUS=OR","Sort=A","Dates=H","DateFormat=P","Fill=—","Direction=H","UseDPDF=Y")</f>
        <v>60.797699999999999</v>
      </c>
      <c r="D7" s="19">
        <f>_xll.BDH("AMZN US Equity","CHG_PCT_PERIOD","FQ2 1999","FQ2 1999","Currency=USD","Period=FQ","BEST_FPERIOD_OVERRIDE=FQ","FILING_STATUS=OR","Sort=A","Dates=H","DateFormat=P","Fill=—","Direction=H","UseDPDF=Y")</f>
        <v>-27.332100000000001</v>
      </c>
      <c r="E7" s="19">
        <f>_xll.BDH("AMZN US Equity","CHG_PCT_PERIOD","FQ3 1999","FQ3 1999","Currency=USD","Period=FQ","BEST_FPERIOD_OVERRIDE=FQ","FILING_STATUS=OR","Sort=A","Dates=H","DateFormat=P","Fill=—","Direction=H","UseDPDF=Y")</f>
        <v>27.772200000000002</v>
      </c>
      <c r="F7" s="19">
        <f>_xll.BDH("AMZN US Equity","CHG_PCT_PERIOD","FQ4 1999","FQ4 1999","Currency=USD","Period=FQ","BEST_FPERIOD_OVERRIDE=FQ","FILING_STATUS=OR","Sort=A","Dates=H","DateFormat=P","Fill=—","Direction=H","UseDPDF=Y")</f>
        <v>-4.7694000000000001</v>
      </c>
      <c r="G7" s="19">
        <f>_xll.BDH("AMZN US Equity","CHG_PCT_PERIOD","FQ1 2000","FQ1 2000","Currency=USD","Period=FQ","BEST_FPERIOD_OVERRIDE=FQ","FILING_STATUS=OR","Sort=A","Dates=H","DateFormat=P","Fill=—","Direction=H","UseDPDF=Y")</f>
        <v>-11.9869</v>
      </c>
      <c r="H7" s="19">
        <f>_xll.BDH("AMZN US Equity","CHG_PCT_PERIOD","FQ2 2000","FQ2 2000","Currency=USD","Period=FQ","BEST_FPERIOD_OVERRIDE=FQ","FILING_STATUS=OR","Sort=A","Dates=H","DateFormat=P","Fill=—","Direction=H","UseDPDF=Y")</f>
        <v>-45.802199999999999</v>
      </c>
      <c r="I7" s="19">
        <f>_xll.BDH("AMZN US Equity","CHG_PCT_PERIOD","FQ3 2000","FQ3 2000","Currency=USD","Period=FQ","BEST_FPERIOD_OVERRIDE=FQ","FILING_STATUS=OR","Sort=A","Dates=H","DateFormat=P","Fill=—","Direction=H","UseDPDF=Y")</f>
        <v>5.8520000000000003</v>
      </c>
      <c r="J7" s="19">
        <f>_xll.BDH("AMZN US Equity","CHG_PCT_PERIOD","FQ4 2000","FQ4 2000","Currency=USD","Period=FQ","BEST_FPERIOD_OVERRIDE=FQ","FILING_STATUS=OR","Sort=A","Dates=H","DateFormat=P","Fill=—","Direction=H","UseDPDF=Y")</f>
        <v>-59.5122</v>
      </c>
      <c r="K7" s="19">
        <f>_xll.BDH("AMZN US Equity","CHG_PCT_PERIOD","FQ1 2001","FQ1 2001","Currency=USD","Period=FQ","BEST_FPERIOD_OVERRIDE=FQ","FILING_STATUS=OR","Sort=A","Dates=H","DateFormat=P","Fill=—","Direction=H","UseDPDF=Y")</f>
        <v>-34.265099999999997</v>
      </c>
      <c r="L7" s="19">
        <f>_xll.BDH("AMZN US Equity","CHG_PCT_PERIOD","FQ2 2001","FQ2 2001","Currency=USD","Period=FQ","BEST_FPERIOD_OVERRIDE=FQ","FILING_STATUS=OR","Sort=A","Dates=H","DateFormat=P","Fill=—","Direction=H","UseDPDF=Y")</f>
        <v>38.3187</v>
      </c>
      <c r="M7" s="19">
        <f>_xll.BDH("AMZN US Equity","CHG_PCT_PERIOD","FQ3 2001","FQ3 2001","Currency=USD","Period=FQ","BEST_FPERIOD_OVERRIDE=FQ","FILING_STATUS=OR","Sort=A","Dates=H","DateFormat=P","Fill=—","Direction=H","UseDPDF=Y")</f>
        <v>-57.809199999999997</v>
      </c>
      <c r="N7" s="19" t="str">
        <f>_xll.BDH("AMZN US Equity","CHG_PCT_PERIOD","FQ4 2001","FQ4 2001","Currency=USD","Period=FQ","BEST_FPERIOD_OVERRIDE=FQ","FILING_STATUS=OR","Sort=A","Dates=H","DateFormat=P","Fill=—","Direction=H","UseDPDF=Y")</f>
        <v>—</v>
      </c>
      <c r="O7" s="19">
        <f>_xll.BDH("AMZN US Equity","CHG_PCT_PERIOD","FQ1 2002","FQ1 2002","Currency=USD","Period=FQ","BEST_FPERIOD_OVERRIDE=FQ","FILING_STATUS=OR","Sort=A","Dates=H","DateFormat=P","Fill=—","Direction=H","UseDPDF=Y")</f>
        <v>32.162700000000001</v>
      </c>
      <c r="P7" s="19" t="str">
        <f>_xll.BDH("AMZN US Equity","CHG_PCT_PERIOD","FQ2 2002","FQ2 2002","Currency=USD","Period=FQ","BEST_FPERIOD_OVERRIDE=FQ","FILING_STATUS=OR","Sort=A","Dates=H","DateFormat=P","Fill=—","Direction=H","UseDPDF=Y")</f>
        <v>—</v>
      </c>
      <c r="Q7" s="19" t="str">
        <f>_xll.BDH("AMZN US Equity","CHG_PCT_PERIOD","FQ3 2002","FQ3 2002","Currency=USD","Period=FQ","BEST_FPERIOD_OVERRIDE=FQ","FILING_STATUS=OR","Sort=A","Dates=H","DateFormat=P","Fill=—","Direction=H","UseDPDF=Y")</f>
        <v>—</v>
      </c>
      <c r="R7" s="19">
        <f>_xll.BDH("AMZN US Equity","CHG_PCT_PERIOD","FQ4 2002","FQ4 2002","Currency=USD","Period=FQ","BEST_FPERIOD_OVERRIDE=FQ","FILING_STATUS=OR","Sort=A","Dates=H","DateFormat=P","Fill=—","Direction=H","UseDPDF=Y")</f>
        <v>18.581299999999999</v>
      </c>
      <c r="S7" s="19">
        <f>_xll.BDH("AMZN US Equity","CHG_PCT_PERIOD","FQ1 2003","FQ1 2003","Currency=USD","Period=FQ","BEST_FPERIOD_OVERRIDE=FQ","FILING_STATUS=OR","Sort=A","Dates=H","DateFormat=P","Fill=—","Direction=H","UseDPDF=Y")</f>
        <v>37.797800000000002</v>
      </c>
      <c r="T7" s="19">
        <f>_xll.BDH("AMZN US Equity","CHG_PCT_PERIOD","FQ2 2003","FQ2 2003","Currency=USD","Period=FQ","BEST_FPERIOD_OVERRIDE=FQ","FILING_STATUS=OR","Sort=A","Dates=H","DateFormat=P","Fill=—","Direction=H","UseDPDF=Y")</f>
        <v>39.531300000000002</v>
      </c>
      <c r="U7" s="19">
        <f>_xll.BDH("AMZN US Equity","CHG_PCT_PERIOD","FQ3 2003","FQ3 2003","Currency=USD","Period=FQ","BEST_FPERIOD_OVERRIDE=FQ","FILING_STATUS=OR","Sort=A","Dates=H","DateFormat=P","Fill=—","Direction=H","UseDPDF=Y")</f>
        <v>33.342500000000001</v>
      </c>
      <c r="V7" s="19">
        <f>_xll.BDH("AMZN US Equity","CHG_PCT_PERIOD","FQ4 2003","FQ4 2003","Currency=USD","Period=FQ","BEST_FPERIOD_OVERRIDE=FQ","FILING_STATUS=OR","Sort=A","Dates=H","DateFormat=P","Fill=—","Direction=H","UseDPDF=Y")</f>
        <v>8.6516999999999999</v>
      </c>
      <c r="W7" s="19">
        <f>_xll.BDH("AMZN US Equity","CHG_PCT_PERIOD","FQ1 2004","FQ1 2004","Currency=USD","Period=FQ","BEST_FPERIOD_OVERRIDE=FQ","FILING_STATUS=OR","Sort=A","Dates=H","DateFormat=P","Fill=—","Direction=H","UseDPDF=Y")</f>
        <v>-17.7499</v>
      </c>
      <c r="X7" s="19">
        <f>_xll.BDH("AMZN US Equity","CHG_PCT_PERIOD","FQ2 2004","FQ2 2004","Currency=USD","Period=FQ","BEST_FPERIOD_OVERRIDE=FQ","FILING_STATUS=OR","Sort=A","Dates=H","DateFormat=P","Fill=—","Direction=H","UseDPDF=Y")</f>
        <v>25.693200000000001</v>
      </c>
      <c r="Y7" s="19">
        <f>_xll.BDH("AMZN US Equity","CHG_PCT_PERIOD","FQ3 2004","FQ3 2004","Currency=USD","Period=FQ","BEST_FPERIOD_OVERRIDE=FQ","FILING_STATUS=OR","Sort=A","Dates=H","DateFormat=P","Fill=—","Direction=H","UseDPDF=Y")</f>
        <v>-24.889700000000001</v>
      </c>
      <c r="Z7" s="19">
        <f>_xll.BDH("AMZN US Equity","CHG_PCT_PERIOD","FQ4 2004","FQ4 2004","Currency=USD","Period=FQ","BEST_FPERIOD_OVERRIDE=FQ","FILING_STATUS=OR","Sort=A","Dates=H","DateFormat=P","Fill=—","Direction=H","UseDPDF=Y")</f>
        <v>8.3945000000000007</v>
      </c>
      <c r="AA7" s="19">
        <f>_xll.BDH("AMZN US Equity","CHG_PCT_PERIOD","FQ1 2005","FQ1 2005","Currency=USD","Period=FQ","BEST_FPERIOD_OVERRIDE=FQ","FILING_STATUS=OR","Sort=A","Dates=H","DateFormat=P","Fill=—","Direction=H","UseDPDF=Y")</f>
        <v>-22.6236</v>
      </c>
      <c r="AB7" s="19">
        <f>_xll.BDH("AMZN US Equity","CHG_PCT_PERIOD","FQ2 2005","FQ2 2005","Currency=USD","Period=FQ","BEST_FPERIOD_OVERRIDE=FQ","FILING_STATUS=OR","Sort=A","Dates=H","DateFormat=P","Fill=—","Direction=H","UseDPDF=Y")</f>
        <v>-3.4432</v>
      </c>
      <c r="AC7" s="19">
        <f>_xll.BDH("AMZN US Equity","CHG_PCT_PERIOD","FQ3 2005","FQ3 2005","Currency=USD","Period=FQ","BEST_FPERIOD_OVERRIDE=FQ","FILING_STATUS=OR","Sort=A","Dates=H","DateFormat=P","Fill=—","Direction=H","UseDPDF=Y")</f>
        <v>36.8994</v>
      </c>
      <c r="AD7" s="19">
        <f>_xll.BDH("AMZN US Equity","CHG_PCT_PERIOD","FQ4 2005","FQ4 2005","Currency=USD","Period=FQ","BEST_FPERIOD_OVERRIDE=FQ","FILING_STATUS=OR","Sort=A","Dates=H","DateFormat=P","Fill=—","Direction=H","UseDPDF=Y")</f>
        <v>4.0838999999999999</v>
      </c>
      <c r="AE7" s="19">
        <f>_xll.BDH("AMZN US Equity","CHG_PCT_PERIOD","FQ1 2006","FQ1 2006","Currency=USD","Period=FQ","BEST_FPERIOD_OVERRIDE=FQ","FILING_STATUS=OR","Sort=A","Dates=H","DateFormat=P","Fill=—","Direction=H","UseDPDF=Y")</f>
        <v>-22.523900000000001</v>
      </c>
      <c r="AF7" s="19">
        <f>_xll.BDH("AMZN US Equity","CHG_PCT_PERIOD","FQ2 2006","FQ2 2006","Currency=USD","Period=FQ","BEST_FPERIOD_OVERRIDE=FQ","FILING_STATUS=OR","Sort=A","Dates=H","DateFormat=P","Fill=—","Direction=H","UseDPDF=Y")</f>
        <v>5.8856000000000002</v>
      </c>
      <c r="AG7" s="19">
        <f>_xll.BDH("AMZN US Equity","CHG_PCT_PERIOD","FQ3 2006","FQ3 2006","Currency=USD","Period=FQ","BEST_FPERIOD_OVERRIDE=FQ","FILING_STATUS=OR","Sort=A","Dates=H","DateFormat=P","Fill=—","Direction=H","UseDPDF=Y")</f>
        <v>-16.959700000000002</v>
      </c>
      <c r="AH7" s="19">
        <f>_xll.BDH("AMZN US Equity","CHG_PCT_PERIOD","FQ4 2006","FQ4 2006","Currency=USD","Period=FQ","BEST_FPERIOD_OVERRIDE=FQ","FILING_STATUS=OR","Sort=A","Dates=H","DateFormat=P","Fill=—","Direction=H","UseDPDF=Y")</f>
        <v>22.851800000000001</v>
      </c>
      <c r="AI7" s="19">
        <f>_xll.BDH("AMZN US Equity","CHG_PCT_PERIOD","FQ1 2007","FQ1 2007","Currency=USD","Period=FQ","BEST_FPERIOD_OVERRIDE=FQ","FILING_STATUS=OR","Sort=A","Dates=H","DateFormat=P","Fill=—","Direction=H","UseDPDF=Y")</f>
        <v>0.83630000000000004</v>
      </c>
      <c r="AJ7" s="19">
        <f>_xll.BDH("AMZN US Equity","CHG_PCT_PERIOD","FQ2 2007","FQ2 2007","Currency=USD","Period=FQ","BEST_FPERIOD_OVERRIDE=FQ","FILING_STATUS=OR","Sort=A","Dates=H","DateFormat=P","Fill=—","Direction=H","UseDPDF=Y")</f>
        <v>71.927599999999998</v>
      </c>
      <c r="AK7" s="19">
        <f>_xll.BDH("AMZN US Equity","CHG_PCT_PERIOD","FQ3 2007","FQ3 2007","Currency=USD","Period=FQ","BEST_FPERIOD_OVERRIDE=FQ","FILING_STATUS=OR","Sort=A","Dates=H","DateFormat=P","Fill=—","Direction=H","UseDPDF=Y")</f>
        <v>36.164299999999997</v>
      </c>
      <c r="AL7" s="19" t="str">
        <f>_xll.BDH("AMZN US Equity","CHG_PCT_PERIOD","FQ4 2007","FQ4 2007","Currency=USD","Period=FQ","BEST_FPERIOD_OVERRIDE=FQ","FILING_STATUS=OR","Sort=A","Dates=H","DateFormat=P","Fill=—","Direction=H","UseDPDF=Y")</f>
        <v>—</v>
      </c>
      <c r="AM7" s="19">
        <f>_xll.BDH("AMZN US Equity","CHG_PCT_PERIOD","FQ1 2008","FQ1 2008","Currency=USD","Period=FQ","BEST_FPERIOD_OVERRIDE=FQ","FILING_STATUS=OR","Sort=A","Dates=H","DateFormat=P","Fill=—","Direction=H","UseDPDF=Y")</f>
        <v>-23.035399999999999</v>
      </c>
      <c r="AN7" s="19">
        <f>_xll.BDH("AMZN US Equity","CHG_PCT_PERIOD","FQ2 2008","FQ2 2008","Currency=USD","Period=FQ","BEST_FPERIOD_OVERRIDE=FQ","FILING_STATUS=OR","Sort=A","Dates=H","DateFormat=P","Fill=—","Direction=H","UseDPDF=Y")</f>
        <v>2.8471000000000002</v>
      </c>
      <c r="AO7" s="19">
        <f>_xll.BDH("AMZN US Equity","CHG_PCT_PERIOD","FQ3 2008","FQ3 2008","Currency=USD","Period=FQ","BEST_FPERIOD_OVERRIDE=FQ","FILING_STATUS=OR","Sort=A","Dates=H","DateFormat=P","Fill=—","Direction=H","UseDPDF=Y")</f>
        <v>-0.77729999999999999</v>
      </c>
      <c r="AP7" s="19">
        <f>_xll.BDH("AMZN US Equity","CHG_PCT_PERIOD","FQ4 2008","FQ4 2008","Currency=USD","Period=FQ","BEST_FPERIOD_OVERRIDE=FQ","FILING_STATUS=OR","Sort=A","Dates=H","DateFormat=P","Fill=—","Direction=H","UseDPDF=Y")</f>
        <v>-29.521699999999999</v>
      </c>
    </row>
    <row r="8" spans="1:42" x14ac:dyDescent="0.25">
      <c r="A8" s="10" t="s">
        <v>401</v>
      </c>
      <c r="B8" s="10" t="s">
        <v>402</v>
      </c>
      <c r="C8" s="14">
        <f>_xll.BDH("AMZN US Equity","PX_OPEN","FQ1 1999","FQ1 1999","Currency=USD","Period=FQ","BEST_FPERIOD_OVERRIDE=FQ","FILING_STATUS=OR","Sort=A","Dates=H","DateFormat=P","Fill=—","Direction=H","UseDPDF=Y")</f>
        <v>54.615000000000002</v>
      </c>
      <c r="D8" s="14">
        <f>_xll.BDH("AMZN US Equity","PX_OPEN","FQ2 1999","FQ2 1999","Currency=USD","Period=FQ","BEST_FPERIOD_OVERRIDE=FQ","FILING_STATUS=OR","Sort=A","Dates=H","DateFormat=P","Fill=—","Direction=H","UseDPDF=Y")</f>
        <v>89.688000000000002</v>
      </c>
      <c r="E8" s="14">
        <f>_xll.BDH("AMZN US Equity","PX_OPEN","FQ3 1999","FQ3 1999","Currency=USD","Period=FQ","BEST_FPERIOD_OVERRIDE=FQ","FILING_STATUS=OR","Sort=A","Dates=H","DateFormat=P","Fill=—","Direction=H","UseDPDF=Y")</f>
        <v>62.625</v>
      </c>
      <c r="F8" s="14">
        <f>_xll.BDH("AMZN US Equity","PX_OPEN","FQ4 1999","FQ4 1999","Currency=USD","Period=FQ","BEST_FPERIOD_OVERRIDE=FQ","FILING_STATUS=OR","Sort=A","Dates=H","DateFormat=P","Fill=—","Direction=H","UseDPDF=Y")</f>
        <v>77</v>
      </c>
      <c r="G8" s="14">
        <f>_xll.BDH("AMZN US Equity","PX_OPEN","FQ1 2000","FQ1 2000","Currency=USD","Period=FQ","BEST_FPERIOD_OVERRIDE=FQ","FILING_STATUS=OR","Sort=A","Dates=H","DateFormat=P","Fill=—","Direction=H","UseDPDF=Y")</f>
        <v>81.5</v>
      </c>
      <c r="H8" s="14">
        <f>_xll.BDH("AMZN US Equity","PX_OPEN","FQ2 2000","FQ2 2000","Currency=USD","Period=FQ","BEST_FPERIOD_OVERRIDE=FQ","FILING_STATUS=OR","Sort=A","Dates=H","DateFormat=P","Fill=—","Direction=H","UseDPDF=Y")</f>
        <v>65.438000000000002</v>
      </c>
      <c r="I8" s="14">
        <f>_xll.BDH("AMZN US Equity","PX_OPEN","FQ3 2000","FQ3 2000","Currency=USD","Period=FQ","BEST_FPERIOD_OVERRIDE=FQ","FILING_STATUS=OR","Sort=A","Dates=H","DateFormat=P","Fill=—","Direction=H","UseDPDF=Y")</f>
        <v>36.688000000000002</v>
      </c>
      <c r="J8" s="14">
        <f>_xll.BDH("AMZN US Equity","PX_OPEN","FQ4 2000","FQ4 2000","Currency=USD","Period=FQ","BEST_FPERIOD_OVERRIDE=FQ","FILING_STATUS=OR","Sort=A","Dates=H","DateFormat=P","Fill=—","Direction=H","UseDPDF=Y")</f>
        <v>38.188000000000002</v>
      </c>
      <c r="K8" s="14">
        <f>_xll.BDH("AMZN US Equity","PX_OPEN","FQ1 2001","FQ1 2001","Currency=USD","Period=FQ","BEST_FPERIOD_OVERRIDE=FQ","FILING_STATUS=OR","Sort=A","Dates=H","DateFormat=P","Fill=—","Direction=H","UseDPDF=Y")</f>
        <v>15.813000000000001</v>
      </c>
      <c r="L8" s="14">
        <f>_xll.BDH("AMZN US Equity","PX_OPEN","FQ2 2001","FQ2 2001","Currency=USD","Period=FQ","BEST_FPERIOD_OVERRIDE=FQ","FILING_STATUS=OR","Sort=A","Dates=H","DateFormat=P","Fill=—","Direction=H","UseDPDF=Y")</f>
        <v>10.33</v>
      </c>
      <c r="M8" s="14">
        <f>_xll.BDH("AMZN US Equity","PX_OPEN","FQ3 2001","FQ3 2001","Currency=USD","Period=FQ","BEST_FPERIOD_OVERRIDE=FQ","FILING_STATUS=OR","Sort=A","Dates=H","DateFormat=P","Fill=—","Direction=H","UseDPDF=Y")</f>
        <v>14.1</v>
      </c>
      <c r="N8" s="14">
        <f>_xll.BDH("AMZN US Equity","PX_OPEN","FQ4 2001","FQ4 2001","Currency=USD","Period=FQ","BEST_FPERIOD_OVERRIDE=FQ","FILING_STATUS=OR","Sort=A","Dates=H","DateFormat=P","Fill=—","Direction=H","UseDPDF=Y")</f>
        <v>5.91</v>
      </c>
      <c r="O8" s="14">
        <f>_xll.BDH("AMZN US Equity","PX_OPEN","FQ1 2002","FQ1 2002","Currency=USD","Period=FQ","BEST_FPERIOD_OVERRIDE=FQ","FILING_STATUS=OR","Sort=A","Dates=H","DateFormat=P","Fill=—","Direction=H","UseDPDF=Y")</f>
        <v>10.935</v>
      </c>
      <c r="P8" s="14">
        <f>_xll.BDH("AMZN US Equity","PX_OPEN","FQ2 2002","FQ2 2002","Currency=USD","Period=FQ","BEST_FPERIOD_OVERRIDE=FQ","FILING_STATUS=OR","Sort=A","Dates=H","DateFormat=P","Fill=—","Direction=H","UseDPDF=Y")</f>
        <v>14.28</v>
      </c>
      <c r="Q8" s="14">
        <f>_xll.BDH("AMZN US Equity","PX_OPEN","FQ3 2002","FQ3 2002","Currency=USD","Period=FQ","BEST_FPERIOD_OVERRIDE=FQ","FILING_STATUS=OR","Sort=A","Dates=H","DateFormat=P","Fill=—","Direction=H","UseDPDF=Y")</f>
        <v>16.170000000000002</v>
      </c>
      <c r="R8" s="14">
        <f>_xll.BDH("AMZN US Equity","PX_OPEN","FQ4 2002","FQ4 2002","Currency=USD","Period=FQ","BEST_FPERIOD_OVERRIDE=FQ","FILING_STATUS=OR","Sort=A","Dates=H","DateFormat=P","Fill=—","Direction=H","UseDPDF=Y")</f>
        <v>16.23</v>
      </c>
      <c r="S8" s="14">
        <f>_xll.BDH("AMZN US Equity","PX_OPEN","FQ1 2003","FQ1 2003","Currency=USD","Period=FQ","BEST_FPERIOD_OVERRIDE=FQ","FILING_STATUS=OR","Sort=A","Dates=H","DateFormat=P","Fill=—","Direction=H","UseDPDF=Y")</f>
        <v>19.190000000000001</v>
      </c>
      <c r="T8" s="14">
        <f>_xll.BDH("AMZN US Equity","PX_OPEN","FQ2 2003","FQ2 2003","Currency=USD","Period=FQ","BEST_FPERIOD_OVERRIDE=FQ","FILING_STATUS=OR","Sort=A","Dates=H","DateFormat=P","Fill=—","Direction=H","UseDPDF=Y")</f>
        <v>25.55</v>
      </c>
      <c r="U8" s="14">
        <f>_xll.BDH("AMZN US Equity","PX_OPEN","FQ3 2003","FQ3 2003","Currency=USD","Period=FQ","BEST_FPERIOD_OVERRIDE=FQ","FILING_STATUS=OR","Sort=A","Dates=H","DateFormat=P","Fill=—","Direction=H","UseDPDF=Y")</f>
        <v>36.33</v>
      </c>
      <c r="V8" s="14">
        <f>_xll.BDH("AMZN US Equity","PX_OPEN","FQ4 2003","FQ4 2003","Currency=USD","Period=FQ","BEST_FPERIOD_OVERRIDE=FQ","FILING_STATUS=OR","Sort=A","Dates=H","DateFormat=P","Fill=—","Direction=H","UseDPDF=Y")</f>
        <v>48.37</v>
      </c>
      <c r="W8" s="14">
        <f>_xll.BDH("AMZN US Equity","PX_OPEN","FQ1 2004","FQ1 2004","Currency=USD","Period=FQ","BEST_FPERIOD_OVERRIDE=FQ","FILING_STATUS=OR","Sort=A","Dates=H","DateFormat=P","Fill=—","Direction=H","UseDPDF=Y")</f>
        <v>52.76</v>
      </c>
      <c r="X8" s="14">
        <f>_xll.BDH("AMZN US Equity","PX_OPEN","FQ2 2004","FQ2 2004","Currency=USD","Period=FQ","BEST_FPERIOD_OVERRIDE=FQ","FILING_STATUS=OR","Sort=A","Dates=H","DateFormat=P","Fill=—","Direction=H","UseDPDF=Y")</f>
        <v>43.44</v>
      </c>
      <c r="Y8" s="14">
        <f>_xll.BDH("AMZN US Equity","PX_OPEN","FQ3 2004","FQ3 2004","Currency=USD","Period=FQ","BEST_FPERIOD_OVERRIDE=FQ","FILING_STATUS=OR","Sort=A","Dates=H","DateFormat=P","Fill=—","Direction=H","UseDPDF=Y")</f>
        <v>53.78</v>
      </c>
      <c r="Z8" s="14">
        <f>_xll.BDH("AMZN US Equity","PX_OPEN","FQ4 2004","FQ4 2004","Currency=USD","Period=FQ","BEST_FPERIOD_OVERRIDE=FQ","FILING_STATUS=OR","Sort=A","Dates=H","DateFormat=P","Fill=—","Direction=H","UseDPDF=Y")</f>
        <v>41.24</v>
      </c>
      <c r="AA8" s="14">
        <f>_xll.BDH("AMZN US Equity","PX_OPEN","FQ1 2005","FQ1 2005","Currency=USD","Period=FQ","BEST_FPERIOD_OVERRIDE=FQ","FILING_STATUS=OR","Sort=A","Dates=H","DateFormat=P","Fill=—","Direction=H","UseDPDF=Y")</f>
        <v>44.95</v>
      </c>
      <c r="AB8" s="14">
        <f>_xll.BDH("AMZN US Equity","PX_OPEN","FQ2 2005","FQ2 2005","Currency=USD","Period=FQ","BEST_FPERIOD_OVERRIDE=FQ","FILING_STATUS=OR","Sort=A","Dates=H","DateFormat=P","Fill=—","Direction=H","UseDPDF=Y")</f>
        <v>34.630000000000003</v>
      </c>
      <c r="AC8" s="14">
        <f>_xll.BDH("AMZN US Equity","PX_OPEN","FQ3 2005","FQ3 2005","Currency=USD","Period=FQ","BEST_FPERIOD_OVERRIDE=FQ","FILING_STATUS=OR","Sort=A","Dates=H","DateFormat=P","Fill=—","Direction=H","UseDPDF=Y")</f>
        <v>33.24</v>
      </c>
      <c r="AD8" s="14">
        <f>_xll.BDH("AMZN US Equity","PX_OPEN","FQ4 2005","FQ4 2005","Currency=USD","Period=FQ","BEST_FPERIOD_OVERRIDE=FQ","FILING_STATUS=OR","Sort=A","Dates=H","DateFormat=P","Fill=—","Direction=H","UseDPDF=Y")</f>
        <v>45.33</v>
      </c>
      <c r="AE8" s="14">
        <f>_xll.BDH("AMZN US Equity","PX_OPEN","FQ1 2006","FQ1 2006","Currency=USD","Period=FQ","BEST_FPERIOD_OVERRIDE=FQ","FILING_STATUS=OR","Sort=A","Dates=H","DateFormat=P","Fill=—","Direction=H","UseDPDF=Y")</f>
        <v>47.47</v>
      </c>
      <c r="AF8" s="14">
        <f>_xll.BDH("AMZN US Equity","PX_OPEN","FQ2 2006","FQ2 2006","Currency=USD","Period=FQ","BEST_FPERIOD_OVERRIDE=FQ","FILING_STATUS=OR","Sort=A","Dates=H","DateFormat=P","Fill=—","Direction=H","UseDPDF=Y")</f>
        <v>36.67</v>
      </c>
      <c r="AG8" s="14">
        <f>_xll.BDH("AMZN US Equity","PX_OPEN","FQ3 2006","FQ3 2006","Currency=USD","Period=FQ","BEST_FPERIOD_OVERRIDE=FQ","FILING_STATUS=OR","Sort=A","Dates=H","DateFormat=P","Fill=—","Direction=H","UseDPDF=Y")</f>
        <v>38.520000000000003</v>
      </c>
      <c r="AH8" s="14">
        <f>_xll.BDH("AMZN US Equity","PX_OPEN","FQ4 2006","FQ4 2006","Currency=USD","Period=FQ","BEST_FPERIOD_OVERRIDE=FQ","FILING_STATUS=OR","Sort=A","Dates=H","DateFormat=P","Fill=—","Direction=H","UseDPDF=Y")</f>
        <v>31.98</v>
      </c>
      <c r="AI8" s="14">
        <f>_xll.BDH("AMZN US Equity","PX_OPEN","FQ1 2007","FQ1 2007","Currency=USD","Period=FQ","BEST_FPERIOD_OVERRIDE=FQ","FILING_STATUS=OR","Sort=A","Dates=H","DateFormat=P","Fill=—","Direction=H","UseDPDF=Y")</f>
        <v>38.68</v>
      </c>
      <c r="AJ8" s="14">
        <f>_xll.BDH("AMZN US Equity","PX_OPEN","FQ2 2007","FQ2 2007","Currency=USD","Period=FQ","BEST_FPERIOD_OVERRIDE=FQ","FILING_STATUS=OR","Sort=A","Dates=H","DateFormat=P","Fill=—","Direction=H","UseDPDF=Y")</f>
        <v>39.85</v>
      </c>
      <c r="AK8" s="14">
        <f>_xll.BDH("AMZN US Equity","PX_OPEN","FQ3 2007","FQ3 2007","Currency=USD","Period=FQ","BEST_FPERIOD_OVERRIDE=FQ","FILING_STATUS=OR","Sort=A","Dates=H","DateFormat=P","Fill=—","Direction=H","UseDPDF=Y")</f>
        <v>68.81</v>
      </c>
      <c r="AL8" s="14">
        <f>_xll.BDH("AMZN US Equity","PX_OPEN","FQ4 2007","FQ4 2007","Currency=USD","Period=FQ","BEST_FPERIOD_OVERRIDE=FQ","FILING_STATUS=OR","Sort=A","Dates=H","DateFormat=P","Fill=—","Direction=H","UseDPDF=Y")</f>
        <v>93.42</v>
      </c>
      <c r="AM8" s="14">
        <f>_xll.BDH("AMZN US Equity","PX_OPEN","FQ1 2008","FQ1 2008","Currency=USD","Period=FQ","BEST_FPERIOD_OVERRIDE=FQ","FILING_STATUS=OR","Sort=A","Dates=H","DateFormat=P","Fill=—","Direction=H","UseDPDF=Y")</f>
        <v>95.35</v>
      </c>
      <c r="AN8" s="14">
        <f>_xll.BDH("AMZN US Equity","PX_OPEN","FQ2 2008","FQ2 2008","Currency=USD","Period=FQ","BEST_FPERIOD_OVERRIDE=FQ","FILING_STATUS=OR","Sort=A","Dates=H","DateFormat=P","Fill=—","Direction=H","UseDPDF=Y")</f>
        <v>72.989999999999995</v>
      </c>
      <c r="AO8" s="14">
        <f>_xll.BDH("AMZN US Equity","PX_OPEN","FQ3 2008","FQ3 2008","Currency=USD","Period=FQ","BEST_FPERIOD_OVERRIDE=FQ","FILING_STATUS=OR","Sort=A","Dates=H","DateFormat=P","Fill=—","Direction=H","UseDPDF=Y")</f>
        <v>72.239999999999995</v>
      </c>
      <c r="AP8" s="14">
        <f>_xll.BDH("AMZN US Equity","PX_OPEN","FQ4 2008","FQ4 2008","Currency=USD","Period=FQ","BEST_FPERIOD_OVERRIDE=FQ","FILING_STATUS=OR","Sort=A","Dates=H","DateFormat=P","Fill=—","Direction=H","UseDPDF=Y")</f>
        <v>71.78</v>
      </c>
    </row>
    <row r="9" spans="1:42" x14ac:dyDescent="0.25">
      <c r="A9" s="10" t="s">
        <v>403</v>
      </c>
      <c r="B9" s="10" t="s">
        <v>404</v>
      </c>
      <c r="C9" s="14">
        <f>_xll.BDH("AMZN US Equity","PX_HIGH","FQ1 1999","FQ1 1999","Currency=USD","Period=FQ","BEST_FPERIOD_OVERRIDE=FQ","FILING_STATUS=OR","Sort=A","Dates=H","DateFormat=P","Fill=—","Direction=H","UseDPDF=Y")</f>
        <v>99.563000000000002</v>
      </c>
      <c r="D9" s="14">
        <f>_xll.BDH("AMZN US Equity","PX_HIGH","FQ2 1999","FQ2 1999","Currency=USD","Period=FQ","BEST_FPERIOD_OVERRIDE=FQ","FILING_STATUS=OR","Sort=A","Dates=H","DateFormat=P","Fill=—","Direction=H","UseDPDF=Y")</f>
        <v>110.625</v>
      </c>
      <c r="E9" s="14">
        <f>_xll.BDH("AMZN US Equity","PX_HIGH","FQ3 1999","FQ3 1999","Currency=USD","Period=FQ","BEST_FPERIOD_OVERRIDE=FQ","FILING_STATUS=OR","Sort=A","Dates=H","DateFormat=P","Fill=—","Direction=H","UseDPDF=Y")</f>
        <v>85</v>
      </c>
      <c r="F9" s="14">
        <f>_xll.BDH("AMZN US Equity","PX_HIGH","FQ4 1999","FQ4 1999","Currency=USD","Period=FQ","BEST_FPERIOD_OVERRIDE=FQ","FILING_STATUS=OR","Sort=A","Dates=H","DateFormat=P","Fill=—","Direction=H","UseDPDF=Y")</f>
        <v>113</v>
      </c>
      <c r="G9" s="14">
        <f>_xll.BDH("AMZN US Equity","PX_HIGH","FQ1 2000","FQ1 2000","Currency=USD","Period=FQ","BEST_FPERIOD_OVERRIDE=FQ","FILING_STATUS=OR","Sort=A","Dates=H","DateFormat=P","Fill=—","Direction=H","UseDPDF=Y")</f>
        <v>91.5</v>
      </c>
      <c r="H9" s="14">
        <f>_xll.BDH("AMZN US Equity","PX_HIGH","FQ2 2000","FQ2 2000","Currency=USD","Period=FQ","BEST_FPERIOD_OVERRIDE=FQ","FILING_STATUS=OR","Sort=A","Dates=H","DateFormat=P","Fill=—","Direction=H","UseDPDF=Y")</f>
        <v>68.625</v>
      </c>
      <c r="I9" s="14">
        <f>_xll.BDH("AMZN US Equity","PX_HIGH","FQ3 2000","FQ3 2000","Currency=USD","Period=FQ","BEST_FPERIOD_OVERRIDE=FQ","FILING_STATUS=OR","Sort=A","Dates=H","DateFormat=P","Fill=—","Direction=H","UseDPDF=Y")</f>
        <v>49.625</v>
      </c>
      <c r="J9" s="14">
        <f>_xll.BDH("AMZN US Equity","PX_HIGH","FQ4 2000","FQ4 2000","Currency=USD","Period=FQ","BEST_FPERIOD_OVERRIDE=FQ","FILING_STATUS=OR","Sort=A","Dates=H","DateFormat=P","Fill=—","Direction=H","UseDPDF=Y")</f>
        <v>40.875</v>
      </c>
      <c r="K9" s="14">
        <f>_xll.BDH("AMZN US Equity","PX_HIGH","FQ1 2001","FQ1 2001","Currency=USD","Period=FQ","BEST_FPERIOD_OVERRIDE=FQ","FILING_STATUS=OR","Sort=A","Dates=H","DateFormat=P","Fill=—","Direction=H","UseDPDF=Y")</f>
        <v>22.375</v>
      </c>
      <c r="L9" s="14">
        <f>_xll.BDH("AMZN US Equity","PX_HIGH","FQ2 2001","FQ2 2001","Currency=USD","Period=FQ","BEST_FPERIOD_OVERRIDE=FQ","FILING_STATUS=OR","Sort=A","Dates=H","DateFormat=P","Fill=—","Direction=H","UseDPDF=Y")</f>
        <v>18.16</v>
      </c>
      <c r="M9" s="14">
        <f>_xll.BDH("AMZN US Equity","PX_HIGH","FQ3 2001","FQ3 2001","Currency=USD","Period=FQ","BEST_FPERIOD_OVERRIDE=FQ","FILING_STATUS=OR","Sort=A","Dates=H","DateFormat=P","Fill=—","Direction=H","UseDPDF=Y")</f>
        <v>17.420000000000002</v>
      </c>
      <c r="N9" s="14">
        <f>_xll.BDH("AMZN US Equity","PX_HIGH","FQ4 2001","FQ4 2001","Currency=USD","Period=FQ","BEST_FPERIOD_OVERRIDE=FQ","FILING_STATUS=OR","Sort=A","Dates=H","DateFormat=P","Fill=—","Direction=H","UseDPDF=Y")</f>
        <v>12.801</v>
      </c>
      <c r="O9" s="14">
        <f>_xll.BDH("AMZN US Equity","PX_HIGH","FQ1 2002","FQ1 2002","Currency=USD","Period=FQ","BEST_FPERIOD_OVERRIDE=FQ","FILING_STATUS=OR","Sort=A","Dates=H","DateFormat=P","Fill=—","Direction=H","UseDPDF=Y")</f>
        <v>16.96</v>
      </c>
      <c r="P9" s="14">
        <f>_xll.BDH("AMZN US Equity","PX_HIGH","FQ2 2002","FQ2 2002","Currency=USD","Period=FQ","BEST_FPERIOD_OVERRIDE=FQ","FILING_STATUS=OR","Sort=A","Dates=H","DateFormat=P","Fill=—","Direction=H","UseDPDF=Y")</f>
        <v>20.399999999999999</v>
      </c>
      <c r="Q9" s="14">
        <f>_xll.BDH("AMZN US Equity","PX_HIGH","FQ3 2002","FQ3 2002","Currency=USD","Period=FQ","BEST_FPERIOD_OVERRIDE=FQ","FILING_STATUS=OR","Sort=A","Dates=H","DateFormat=P","Fill=—","Direction=H","UseDPDF=Y")</f>
        <v>17.93</v>
      </c>
      <c r="R9" s="14">
        <f>_xll.BDH("AMZN US Equity","PX_HIGH","FQ4 2002","FQ4 2002","Currency=USD","Period=FQ","BEST_FPERIOD_OVERRIDE=FQ","FILING_STATUS=OR","Sort=A","Dates=H","DateFormat=P","Fill=—","Direction=H","UseDPDF=Y")</f>
        <v>25</v>
      </c>
      <c r="S9" s="14">
        <f>_xll.BDH("AMZN US Equity","PX_HIGH","FQ1 2003","FQ1 2003","Currency=USD","Period=FQ","BEST_FPERIOD_OVERRIDE=FQ","FILING_STATUS=OR","Sort=A","Dates=H","DateFormat=P","Fill=—","Direction=H","UseDPDF=Y")</f>
        <v>28.04</v>
      </c>
      <c r="T9" s="14">
        <f>_xll.BDH("AMZN US Equity","PX_HIGH","FQ2 2003","FQ2 2003","Currency=USD","Period=FQ","BEST_FPERIOD_OVERRIDE=FQ","FILING_STATUS=OR","Sort=A","Dates=H","DateFormat=P","Fill=—","Direction=H","UseDPDF=Y")</f>
        <v>37.24</v>
      </c>
      <c r="U9" s="14">
        <f>_xll.BDH("AMZN US Equity","PX_HIGH","FQ3 2003","FQ3 2003","Currency=USD","Period=FQ","BEST_FPERIOD_OVERRIDE=FQ","FILING_STATUS=OR","Sort=A","Dates=H","DateFormat=P","Fill=—","Direction=H","UseDPDF=Y")</f>
        <v>51.3</v>
      </c>
      <c r="V9" s="14">
        <f>_xll.BDH("AMZN US Equity","PX_HIGH","FQ4 2003","FQ4 2003","Currency=USD","Period=FQ","BEST_FPERIOD_OVERRIDE=FQ","FILING_STATUS=OR","Sort=A","Dates=H","DateFormat=P","Fill=—","Direction=H","UseDPDF=Y")</f>
        <v>61.15</v>
      </c>
      <c r="W9" s="14">
        <f>_xll.BDH("AMZN US Equity","PX_HIGH","FQ1 2004","FQ1 2004","Currency=USD","Period=FQ","BEST_FPERIOD_OVERRIDE=FQ","FILING_STATUS=OR","Sort=A","Dates=H","DateFormat=P","Fill=—","Direction=H","UseDPDF=Y")</f>
        <v>57.82</v>
      </c>
      <c r="X9" s="14">
        <f>_xll.BDH("AMZN US Equity","PX_HIGH","FQ2 2004","FQ2 2004","Currency=USD","Period=FQ","BEST_FPERIOD_OVERRIDE=FQ","FILING_STATUS=OR","Sort=A","Dates=H","DateFormat=P","Fill=—","Direction=H","UseDPDF=Y")</f>
        <v>54.7</v>
      </c>
      <c r="Y9" s="14">
        <f>_xll.BDH("AMZN US Equity","PX_HIGH","FQ3 2004","FQ3 2004","Currency=USD","Period=FQ","BEST_FPERIOD_OVERRIDE=FQ","FILING_STATUS=OR","Sort=A","Dates=H","DateFormat=P","Fill=—","Direction=H","UseDPDF=Y")</f>
        <v>54.04</v>
      </c>
      <c r="Z9" s="14">
        <f>_xll.BDH("AMZN US Equity","PX_HIGH","FQ4 2004","FQ4 2004","Currency=USD","Period=FQ","BEST_FPERIOD_OVERRIDE=FQ","FILING_STATUS=OR","Sort=A","Dates=H","DateFormat=P","Fill=—","Direction=H","UseDPDF=Y")</f>
        <v>45.68</v>
      </c>
      <c r="AA9" s="14">
        <f>_xll.BDH("AMZN US Equity","PX_HIGH","FQ1 2005","FQ1 2005","Currency=USD","Period=FQ","BEST_FPERIOD_OVERRIDE=FQ","FILING_STATUS=OR","Sort=A","Dates=H","DateFormat=P","Fill=—","Direction=H","UseDPDF=Y")</f>
        <v>45.44</v>
      </c>
      <c r="AB9" s="14">
        <f>_xll.BDH("AMZN US Equity","PX_HIGH","FQ2 2005","FQ2 2005","Currency=USD","Period=FQ","BEST_FPERIOD_OVERRIDE=FQ","FILING_STATUS=OR","Sort=A","Dates=H","DateFormat=P","Fill=—","Direction=H","UseDPDF=Y")</f>
        <v>36.99</v>
      </c>
      <c r="AC9" s="14">
        <f>_xll.BDH("AMZN US Equity","PX_HIGH","FQ3 2005","FQ3 2005","Currency=USD","Period=FQ","BEST_FPERIOD_OVERRIDE=FQ","FILING_STATUS=OR","Sort=A","Dates=H","DateFormat=P","Fill=—","Direction=H","UseDPDF=Y")</f>
        <v>46.97</v>
      </c>
      <c r="AD9" s="14">
        <f>_xll.BDH("AMZN US Equity","PX_HIGH","FQ4 2005","FQ4 2005","Currency=USD","Period=FQ","BEST_FPERIOD_OVERRIDE=FQ","FILING_STATUS=OR","Sort=A","Dates=H","DateFormat=P","Fill=—","Direction=H","UseDPDF=Y")</f>
        <v>50.000999999999998</v>
      </c>
      <c r="AE9" s="14">
        <f>_xll.BDH("AMZN US Equity","PX_HIGH","FQ1 2006","FQ1 2006","Currency=USD","Period=FQ","BEST_FPERIOD_OVERRIDE=FQ","FILING_STATUS=OR","Sort=A","Dates=H","DateFormat=P","Fill=—","Direction=H","UseDPDF=Y")</f>
        <v>48.58</v>
      </c>
      <c r="AF9" s="14">
        <f>_xll.BDH("AMZN US Equity","PX_HIGH","FQ2 2006","FQ2 2006","Currency=USD","Period=FQ","BEST_FPERIOD_OVERRIDE=FQ","FILING_STATUS=OR","Sort=A","Dates=H","DateFormat=P","Fill=—","Direction=H","UseDPDF=Y")</f>
        <v>38.840000000000003</v>
      </c>
      <c r="AG9" s="14">
        <f>_xll.BDH("AMZN US Equity","PX_HIGH","FQ3 2006","FQ3 2006","Currency=USD","Period=FQ","BEST_FPERIOD_OVERRIDE=FQ","FILING_STATUS=OR","Sort=A","Dates=H","DateFormat=P","Fill=—","Direction=H","UseDPDF=Y")</f>
        <v>38.619999999999997</v>
      </c>
      <c r="AH9" s="14">
        <f>_xll.BDH("AMZN US Equity","PX_HIGH","FQ4 2006","FQ4 2006","Currency=USD","Period=FQ","BEST_FPERIOD_OVERRIDE=FQ","FILING_STATUS=OR","Sort=A","Dates=H","DateFormat=P","Fill=—","Direction=H","UseDPDF=Y")</f>
        <v>43.25</v>
      </c>
      <c r="AI9" s="14">
        <f>_xll.BDH("AMZN US Equity","PX_HIGH","FQ1 2007","FQ1 2007","Currency=USD","Period=FQ","BEST_FPERIOD_OVERRIDE=FQ","FILING_STATUS=OR","Sort=A","Dates=H","DateFormat=P","Fill=—","Direction=H","UseDPDF=Y")</f>
        <v>42</v>
      </c>
      <c r="AJ9" s="14">
        <f>_xll.BDH("AMZN US Equity","PX_HIGH","FQ2 2007","FQ2 2007","Currency=USD","Period=FQ","BEST_FPERIOD_OVERRIDE=FQ","FILING_STATUS=OR","Sort=A","Dates=H","DateFormat=P","Fill=—","Direction=H","UseDPDF=Y")</f>
        <v>74.72</v>
      </c>
      <c r="AK9" s="14">
        <f>_xll.BDH("AMZN US Equity","PX_HIGH","FQ3 2007","FQ3 2007","Currency=USD","Period=FQ","BEST_FPERIOD_OVERRIDE=FQ","FILING_STATUS=OR","Sort=A","Dates=H","DateFormat=P","Fill=—","Direction=H","UseDPDF=Y")</f>
        <v>94.26</v>
      </c>
      <c r="AL9" s="14">
        <f>_xll.BDH("AMZN US Equity","PX_HIGH","FQ4 2007","FQ4 2007","Currency=USD","Period=FQ","BEST_FPERIOD_OVERRIDE=FQ","FILING_STATUS=OR","Sort=A","Dates=H","DateFormat=P","Fill=—","Direction=H","UseDPDF=Y")</f>
        <v>101.09</v>
      </c>
      <c r="AM9" s="14">
        <f>_xll.BDH("AMZN US Equity","PX_HIGH","FQ1 2008","FQ1 2008","Currency=USD","Period=FQ","BEST_FPERIOD_OVERRIDE=FQ","FILING_STATUS=OR","Sort=A","Dates=H","DateFormat=P","Fill=—","Direction=H","UseDPDF=Y")</f>
        <v>97.43</v>
      </c>
      <c r="AN9" s="14">
        <f>_xll.BDH("AMZN US Equity","PX_HIGH","FQ2 2008","FQ2 2008","Currency=USD","Period=FQ","BEST_FPERIOD_OVERRIDE=FQ","FILING_STATUS=OR","Sort=A","Dates=H","DateFormat=P","Fill=—","Direction=H","UseDPDF=Y")</f>
        <v>84.88</v>
      </c>
      <c r="AO9" s="14">
        <f>_xll.BDH("AMZN US Equity","PX_HIGH","FQ3 2008","FQ3 2008","Currency=USD","Period=FQ","BEST_FPERIOD_OVERRIDE=FQ","FILING_STATUS=OR","Sort=A","Dates=H","DateFormat=P","Fill=—","Direction=H","UseDPDF=Y")</f>
        <v>91.75</v>
      </c>
      <c r="AP9" s="14">
        <f>_xll.BDH("AMZN US Equity","PX_HIGH","FQ4 2008","FQ4 2008","Currency=USD","Period=FQ","BEST_FPERIOD_OVERRIDE=FQ","FILING_STATUS=OR","Sort=A","Dates=H","DateFormat=P","Fill=—","Direction=H","UseDPDF=Y")</f>
        <v>71.989999999999995</v>
      </c>
    </row>
    <row r="10" spans="1:42" x14ac:dyDescent="0.25">
      <c r="A10" s="10" t="s">
        <v>405</v>
      </c>
      <c r="B10" s="10" t="s">
        <v>406</v>
      </c>
      <c r="C10" s="14">
        <f>_xll.BDH("AMZN US Equity","PX_LOW","FQ1 1999","FQ1 1999","Currency=USD","Period=FQ","BEST_FPERIOD_OVERRIDE=FQ","FILING_STATUS=OR","Sort=A","Dates=H","DateFormat=P","Fill=—","Direction=H","UseDPDF=Y")</f>
        <v>42.125</v>
      </c>
      <c r="D10" s="14">
        <f>_xll.BDH("AMZN US Equity","PX_LOW","FQ2 1999","FQ2 1999","Currency=USD","Period=FQ","BEST_FPERIOD_OVERRIDE=FQ","FILING_STATUS=OR","Sort=A","Dates=H","DateFormat=P","Fill=—","Direction=H","UseDPDF=Y")</f>
        <v>44.875</v>
      </c>
      <c r="E10" s="14">
        <f>_xll.BDH("AMZN US Equity","PX_LOW","FQ3 1999","FQ3 1999","Currency=USD","Period=FQ","BEST_FPERIOD_OVERRIDE=FQ","FILING_STATUS=OR","Sort=A","Dates=H","DateFormat=P","Fill=—","Direction=H","UseDPDF=Y")</f>
        <v>41</v>
      </c>
      <c r="F10" s="14">
        <f>_xll.BDH("AMZN US Equity","PX_LOW","FQ4 1999","FQ4 1999","Currency=USD","Period=FQ","BEST_FPERIOD_OVERRIDE=FQ","FILING_STATUS=OR","Sort=A","Dates=H","DateFormat=P","Fill=—","Direction=H","UseDPDF=Y")</f>
        <v>61</v>
      </c>
      <c r="G10" s="14">
        <f>_xll.BDH("AMZN US Equity","PX_LOW","FQ1 2000","FQ1 2000","Currency=USD","Period=FQ","BEST_FPERIOD_OVERRIDE=FQ","FILING_STATUS=OR","Sort=A","Dates=H","DateFormat=P","Fill=—","Direction=H","UseDPDF=Y")</f>
        <v>58.438000000000002</v>
      </c>
      <c r="H10" s="14">
        <f>_xll.BDH("AMZN US Equity","PX_LOW","FQ2 2000","FQ2 2000","Currency=USD","Period=FQ","BEST_FPERIOD_OVERRIDE=FQ","FILING_STATUS=OR","Sort=A","Dates=H","DateFormat=P","Fill=—","Direction=H","UseDPDF=Y")</f>
        <v>32.469000000000001</v>
      </c>
      <c r="I10" s="14">
        <f>_xll.BDH("AMZN US Equity","PX_LOW","FQ3 2000","FQ3 2000","Currency=USD","Period=FQ","BEST_FPERIOD_OVERRIDE=FQ","FILING_STATUS=OR","Sort=A","Dates=H","DateFormat=P","Fill=—","Direction=H","UseDPDF=Y")</f>
        <v>27.875</v>
      </c>
      <c r="J10" s="14">
        <f>_xll.BDH("AMZN US Equity","PX_LOW","FQ4 2000","FQ4 2000","Currency=USD","Period=FQ","BEST_FPERIOD_OVERRIDE=FQ","FILING_STATUS=OR","Sort=A","Dates=H","DateFormat=P","Fill=—","Direction=H","UseDPDF=Y")</f>
        <v>14.875</v>
      </c>
      <c r="K10" s="14">
        <f>_xll.BDH("AMZN US Equity","PX_LOW","FQ1 2001","FQ1 2001","Currency=USD","Period=FQ","BEST_FPERIOD_OVERRIDE=FQ","FILING_STATUS=OR","Sort=A","Dates=H","DateFormat=P","Fill=—","Direction=H","UseDPDF=Y")</f>
        <v>9.5630000000000006</v>
      </c>
      <c r="L10" s="14">
        <f>_xll.BDH("AMZN US Equity","PX_LOW","FQ2 2001","FQ2 2001","Currency=USD","Period=FQ","BEST_FPERIOD_OVERRIDE=FQ","FILING_STATUS=OR","Sort=A","Dates=H","DateFormat=P","Fill=—","Direction=H","UseDPDF=Y")</f>
        <v>8.1</v>
      </c>
      <c r="M10" s="14">
        <f>_xll.BDH("AMZN US Equity","PX_LOW","FQ3 2001","FQ3 2001","Currency=USD","Period=FQ","BEST_FPERIOD_OVERRIDE=FQ","FILING_STATUS=OR","Sort=A","Dates=H","DateFormat=P","Fill=—","Direction=H","UseDPDF=Y")</f>
        <v>5.67</v>
      </c>
      <c r="N10" s="14">
        <f>_xll.BDH("AMZN US Equity","PX_LOW","FQ4 2001","FQ4 2001","Currency=USD","Period=FQ","BEST_FPERIOD_OVERRIDE=FQ","FILING_STATUS=OR","Sort=A","Dates=H","DateFormat=P","Fill=—","Direction=H","UseDPDF=Y")</f>
        <v>5.51</v>
      </c>
      <c r="O10" s="14">
        <f>_xll.BDH("AMZN US Equity","PX_LOW","FQ1 2002","FQ1 2002","Currency=USD","Period=FQ","BEST_FPERIOD_OVERRIDE=FQ","FILING_STATUS=OR","Sort=A","Dates=H","DateFormat=P","Fill=—","Direction=H","UseDPDF=Y")</f>
        <v>9.0299999999999994</v>
      </c>
      <c r="P10" s="14">
        <f>_xll.BDH("AMZN US Equity","PX_LOW","FQ2 2002","FQ2 2002","Currency=USD","Period=FQ","BEST_FPERIOD_OVERRIDE=FQ","FILING_STATUS=OR","Sort=A","Dates=H","DateFormat=P","Fill=—","Direction=H","UseDPDF=Y")</f>
        <v>12.52</v>
      </c>
      <c r="Q10" s="14">
        <f>_xll.BDH("AMZN US Equity","PX_LOW","FQ3 2002","FQ3 2002","Currency=USD","Period=FQ","BEST_FPERIOD_OVERRIDE=FQ","FILING_STATUS=OR","Sort=A","Dates=H","DateFormat=P","Fill=—","Direction=H","UseDPDF=Y")</f>
        <v>12.26</v>
      </c>
      <c r="R10" s="14">
        <f>_xll.BDH("AMZN US Equity","PX_LOW","FQ4 2002","FQ4 2002","Currency=USD","Period=FQ","BEST_FPERIOD_OVERRIDE=FQ","FILING_STATUS=OR","Sort=A","Dates=H","DateFormat=P","Fill=—","Direction=H","UseDPDF=Y")</f>
        <v>16.010000000000002</v>
      </c>
      <c r="S10" s="14">
        <f>_xll.BDH("AMZN US Equity","PX_LOW","FQ1 2003","FQ1 2003","Currency=USD","Period=FQ","BEST_FPERIOD_OVERRIDE=FQ","FILING_STATUS=OR","Sort=A","Dates=H","DateFormat=P","Fill=—","Direction=H","UseDPDF=Y")</f>
        <v>18.55</v>
      </c>
      <c r="T10" s="14">
        <f>_xll.BDH("AMZN US Equity","PX_LOW","FQ2 2003","FQ2 2003","Currency=USD","Period=FQ","BEST_FPERIOD_OVERRIDE=FQ","FILING_STATUS=OR","Sort=A","Dates=H","DateFormat=P","Fill=—","Direction=H","UseDPDF=Y")</f>
        <v>24.13</v>
      </c>
      <c r="U10" s="14">
        <f>_xll.BDH("AMZN US Equity","PX_LOW","FQ3 2003","FQ3 2003","Currency=USD","Period=FQ","BEST_FPERIOD_OVERRIDE=FQ","FILING_STATUS=OR","Sort=A","Dates=H","DateFormat=P","Fill=—","Direction=H","UseDPDF=Y")</f>
        <v>34</v>
      </c>
      <c r="V10" s="14">
        <f>_xll.BDH("AMZN US Equity","PX_LOW","FQ4 2003","FQ4 2003","Currency=USD","Period=FQ","BEST_FPERIOD_OVERRIDE=FQ","FILING_STATUS=OR","Sort=A","Dates=H","DateFormat=P","Fill=—","Direction=H","UseDPDF=Y")</f>
        <v>47</v>
      </c>
      <c r="W10" s="14">
        <f>_xll.BDH("AMZN US Equity","PX_LOW","FQ1 2004","FQ1 2004","Currency=USD","Period=FQ","BEST_FPERIOD_OVERRIDE=FQ","FILING_STATUS=OR","Sort=A","Dates=H","DateFormat=P","Fill=—","Direction=H","UseDPDF=Y")</f>
        <v>39.15</v>
      </c>
      <c r="X10" s="14">
        <f>_xll.BDH("AMZN US Equity","PX_LOW","FQ2 2004","FQ2 2004","Currency=USD","Period=FQ","BEST_FPERIOD_OVERRIDE=FQ","FILING_STATUS=OR","Sort=A","Dates=H","DateFormat=P","Fill=—","Direction=H","UseDPDF=Y")</f>
        <v>40.549999999999997</v>
      </c>
      <c r="Y10" s="14">
        <f>_xll.BDH("AMZN US Equity","PX_LOW","FQ3 2004","FQ3 2004","Currency=USD","Period=FQ","BEST_FPERIOD_OVERRIDE=FQ","FILING_STATUS=OR","Sort=A","Dates=H","DateFormat=P","Fill=—","Direction=H","UseDPDF=Y")</f>
        <v>34.85</v>
      </c>
      <c r="Z10" s="14">
        <f>_xll.BDH("AMZN US Equity","PX_LOW","FQ4 2004","FQ4 2004","Currency=USD","Period=FQ","BEST_FPERIOD_OVERRIDE=FQ","FILING_STATUS=OR","Sort=A","Dates=H","DateFormat=P","Fill=—","Direction=H","UseDPDF=Y")</f>
        <v>33</v>
      </c>
      <c r="AA10" s="14">
        <f>_xll.BDH("AMZN US Equity","PX_LOW","FQ1 2005","FQ1 2005","Currency=USD","Period=FQ","BEST_FPERIOD_OVERRIDE=FQ","FILING_STATUS=OR","Sort=A","Dates=H","DateFormat=P","Fill=—","Direction=H","UseDPDF=Y")</f>
        <v>32.82</v>
      </c>
      <c r="AB10" s="14">
        <f>_xll.BDH("AMZN US Equity","PX_LOW","FQ2 2005","FQ2 2005","Currency=USD","Period=FQ","BEST_FPERIOD_OVERRIDE=FQ","FILING_STATUS=OR","Sort=A","Dates=H","DateFormat=P","Fill=—","Direction=H","UseDPDF=Y")</f>
        <v>30.6</v>
      </c>
      <c r="AC10" s="14">
        <f>_xll.BDH("AMZN US Equity","PX_LOW","FQ3 2005","FQ3 2005","Currency=USD","Period=FQ","BEST_FPERIOD_OVERRIDE=FQ","FILING_STATUS=OR","Sort=A","Dates=H","DateFormat=P","Fill=—","Direction=H","UseDPDF=Y")</f>
        <v>32.79</v>
      </c>
      <c r="AD10" s="14">
        <f>_xll.BDH("AMZN US Equity","PX_LOW","FQ4 2005","FQ4 2005","Currency=USD","Period=FQ","BEST_FPERIOD_OVERRIDE=FQ","FILING_STATUS=OR","Sort=A","Dates=H","DateFormat=P","Fill=—","Direction=H","UseDPDF=Y")</f>
        <v>38.72</v>
      </c>
      <c r="AE10" s="14">
        <f>_xll.BDH("AMZN US Equity","PX_LOW","FQ1 2006","FQ1 2006","Currency=USD","Period=FQ","BEST_FPERIOD_OVERRIDE=FQ","FILING_STATUS=OR","Sort=A","Dates=H","DateFormat=P","Fill=—","Direction=H","UseDPDF=Y")</f>
        <v>35.139000000000003</v>
      </c>
      <c r="AF10" s="14">
        <f>_xll.BDH("AMZN US Equity","PX_LOW","FQ2 2006","FQ2 2006","Currency=USD","Period=FQ","BEST_FPERIOD_OVERRIDE=FQ","FILING_STATUS=OR","Sort=A","Dates=H","DateFormat=P","Fill=—","Direction=H","UseDPDF=Y")</f>
        <v>31.52</v>
      </c>
      <c r="AG10" s="14">
        <f>_xll.BDH("AMZN US Equity","PX_LOW","FQ3 2006","FQ3 2006","Currency=USD","Period=FQ","BEST_FPERIOD_OVERRIDE=FQ","FILING_STATUS=OR","Sort=A","Dates=H","DateFormat=P","Fill=—","Direction=H","UseDPDF=Y")</f>
        <v>25.76</v>
      </c>
      <c r="AH10" s="14">
        <f>_xll.BDH("AMZN US Equity","PX_LOW","FQ4 2006","FQ4 2006","Currency=USD","Period=FQ","BEST_FPERIOD_OVERRIDE=FQ","FILING_STATUS=OR","Sort=A","Dates=H","DateFormat=P","Fill=—","Direction=H","UseDPDF=Y")</f>
        <v>30.58</v>
      </c>
      <c r="AI10" s="14">
        <f>_xll.BDH("AMZN US Equity","PX_LOW","FQ1 2007","FQ1 2007","Currency=USD","Period=FQ","BEST_FPERIOD_OVERRIDE=FQ","FILING_STATUS=OR","Sort=A","Dates=H","DateFormat=P","Fill=—","Direction=H","UseDPDF=Y")</f>
        <v>36.299999999999997</v>
      </c>
      <c r="AJ10" s="14">
        <f>_xll.BDH("AMZN US Equity","PX_LOW","FQ2 2007","FQ2 2007","Currency=USD","Period=FQ","BEST_FPERIOD_OVERRIDE=FQ","FILING_STATUS=OR","Sort=A","Dates=H","DateFormat=P","Fill=—","Direction=H","UseDPDF=Y")</f>
        <v>39.549999999999997</v>
      </c>
      <c r="AK10" s="14">
        <f>_xll.BDH("AMZN US Equity","PX_LOW","FQ3 2007","FQ3 2007","Currency=USD","Period=FQ","BEST_FPERIOD_OVERRIDE=FQ","FILING_STATUS=OR","Sort=A","Dates=H","DateFormat=P","Fill=—","Direction=H","UseDPDF=Y")</f>
        <v>68.010000000000005</v>
      </c>
      <c r="AL10" s="14">
        <f>_xll.BDH("AMZN US Equity","PX_LOW","FQ4 2007","FQ4 2007","Currency=USD","Period=FQ","BEST_FPERIOD_OVERRIDE=FQ","FILING_STATUS=OR","Sort=A","Dates=H","DateFormat=P","Fill=—","Direction=H","UseDPDF=Y")</f>
        <v>76.5</v>
      </c>
      <c r="AM10" s="14">
        <f>_xll.BDH("AMZN US Equity","PX_LOW","FQ1 2008","FQ1 2008","Currency=USD","Period=FQ","BEST_FPERIOD_OVERRIDE=FQ","FILING_STATUS=OR","Sort=A","Dates=H","DateFormat=P","Fill=—","Direction=H","UseDPDF=Y")</f>
        <v>61.2</v>
      </c>
      <c r="AN10" s="14">
        <f>_xll.BDH("AMZN US Equity","PX_LOW","FQ2 2008","FQ2 2008","Currency=USD","Period=FQ","BEST_FPERIOD_OVERRIDE=FQ","FILING_STATUS=OR","Sort=A","Dates=H","DateFormat=P","Fill=—","Direction=H","UseDPDF=Y")</f>
        <v>70.650000000000006</v>
      </c>
      <c r="AO10" s="14">
        <f>_xll.BDH("AMZN US Equity","PX_LOW","FQ3 2008","FQ3 2008","Currency=USD","Period=FQ","BEST_FPERIOD_OVERRIDE=FQ","FILING_STATUS=OR","Sort=A","Dates=H","DateFormat=P","Fill=—","Direction=H","UseDPDF=Y")</f>
        <v>61.32</v>
      </c>
      <c r="AP10" s="14">
        <f>_xll.BDH("AMZN US Equity","PX_LOW","FQ4 2008","FQ4 2008","Currency=USD","Period=FQ","BEST_FPERIOD_OVERRIDE=FQ","FILING_STATUS=OR","Sort=A","Dates=H","DateFormat=P","Fill=—","Direction=H","UseDPDF=Y")</f>
        <v>34.68</v>
      </c>
    </row>
    <row r="11" spans="1:42" x14ac:dyDescent="0.25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x14ac:dyDescent="0.25">
      <c r="A12" s="6" t="s">
        <v>407</v>
      </c>
      <c r="B12" s="6" t="s">
        <v>408</v>
      </c>
      <c r="C12" s="16">
        <f>_xll.BDH("AMZN US Equity","HISTORICAL_MARKET_CAP","FQ1 1999","FQ1 1999","Currency=USD","Period=FQ","BEST_FPERIOD_OVERRIDE=FQ","FILING_STATUS=OR","SCALING_FORMAT=MLN","Sort=A","Dates=H","DateFormat=P","Fill=—","Direction=H","UseDPDF=Y")</f>
        <v>27786.0694</v>
      </c>
      <c r="D12" s="16">
        <f>_xll.BDH("AMZN US Equity","HISTORICAL_MARKET_CAP","FQ2 1999","FQ2 1999","Currency=USD","Period=FQ","BEST_FPERIOD_OVERRIDE=FQ","FILING_STATUS=OR","SCALING_FORMAT=MLN","Sort=A","Dates=H","DateFormat=P","Fill=—","Direction=H","UseDPDF=Y")</f>
        <v>21040.144100000001</v>
      </c>
      <c r="E12" s="16">
        <f>_xll.BDH("AMZN US Equity","HISTORICAL_MARKET_CAP","FQ3 1999","FQ3 1999","Currency=USD","Period=FQ","BEST_FPERIOD_OVERRIDE=FQ","FILING_STATUS=OR","SCALING_FORMAT=MLN","Sort=A","Dates=H","DateFormat=P","Fill=—","Direction=H","UseDPDF=Y")</f>
        <v>27241.659800000001</v>
      </c>
      <c r="F12" s="16">
        <f>_xll.BDH("AMZN US Equity","HISTORICAL_MARKET_CAP","FQ4 1999","FQ4 1999","Currency=USD","Period=FQ","BEST_FPERIOD_OVERRIDE=FQ","FILING_STATUS=OR","SCALING_FORMAT=MLN","Sort=A","Dates=H","DateFormat=P","Fill=—","Direction=H","UseDPDF=Y")</f>
        <v>26274.924299999999</v>
      </c>
      <c r="G12" s="16">
        <f>_xll.BDH("AMZN US Equity","HISTORICAL_MARKET_CAP","FQ1 2000","FQ1 2000","Currency=USD","Period=FQ","BEST_FPERIOD_OVERRIDE=FQ","FILING_STATUS=OR","SCALING_FORMAT=MLN","Sort=A","Dates=H","DateFormat=P","Fill=—","Direction=H","UseDPDF=Y")</f>
        <v>23447.253000000001</v>
      </c>
      <c r="H12" s="16" t="str">
        <f>_xll.BDH("AMZN US Equity","HISTORICAL_MARKET_CAP","FQ2 2000","FQ2 2000","Currency=USD","Period=FQ","BEST_FPERIOD_OVERRIDE=FQ","FILING_STATUS=OR","SCALING_FORMAT=MLN","Sort=A","Dates=H","DateFormat=P","Fill=—","Direction=H","UseDPDF=Y")</f>
        <v>—</v>
      </c>
      <c r="I12" s="16">
        <f>_xll.BDH("AMZN US Equity","HISTORICAL_MARKET_CAP","FQ3 2000","FQ3 2000","Currency=USD","Period=FQ","BEST_FPERIOD_OVERRIDE=FQ","FILING_STATUS=OR","SCALING_FORMAT=MLN","Sort=A","Dates=H","DateFormat=P","Fill=—","Direction=H","UseDPDF=Y")</f>
        <v>13687.6702</v>
      </c>
      <c r="J12" s="16">
        <f>_xll.BDH("AMZN US Equity","HISTORICAL_MARKET_CAP","FQ4 2000","FQ4 2000","Currency=USD","Period=FQ","BEST_FPERIOD_OVERRIDE=FQ","FILING_STATUS=OR","SCALING_FORMAT=MLN","Sort=A","Dates=H","DateFormat=P","Fill=—","Direction=H","UseDPDF=Y")</f>
        <v>5557.9915000000001</v>
      </c>
      <c r="K12" s="16">
        <f>_xll.BDH("AMZN US Equity","HISTORICAL_MARKET_CAP","FQ1 2001","FQ1 2001","Currency=USD","Period=FQ","BEST_FPERIOD_OVERRIDE=FQ","FILING_STATUS=OR","SCALING_FORMAT=MLN","Sort=A","Dates=H","DateFormat=P","Fill=—","Direction=H","UseDPDF=Y")</f>
        <v>3671.0047</v>
      </c>
      <c r="L12" s="16">
        <f>_xll.BDH("AMZN US Equity","HISTORICAL_MARKET_CAP","FQ2 2001","FQ2 2001","Currency=USD","Period=FQ","BEST_FPERIOD_OVERRIDE=FQ","FILING_STATUS=OR","SCALING_FORMAT=MLN","Sort=A","Dates=H","DateFormat=P","Fill=—","Direction=H","UseDPDF=Y")</f>
        <v>5125.0028000000002</v>
      </c>
      <c r="M12" s="16">
        <f>_xll.BDH("AMZN US Equity","HISTORICAL_MARKET_CAP","FQ3 2001","FQ3 2001","Currency=USD","Period=FQ","BEST_FPERIOD_OVERRIDE=FQ","FILING_STATUS=OR","SCALING_FORMAT=MLN","Sort=A","Dates=H","DateFormat=P","Fill=—","Direction=H","UseDPDF=Y")</f>
        <v>2219.4430000000002</v>
      </c>
      <c r="N12" s="16">
        <f>_xll.BDH("AMZN US Equity","HISTORICAL_MARKET_CAP","FQ4 2001","FQ4 2001","Currency=USD","Period=FQ","BEST_FPERIOD_OVERRIDE=FQ","FILING_STATUS=OR","SCALING_FORMAT=MLN","Sort=A","Dates=H","DateFormat=P","Fill=—","Direction=H","UseDPDF=Y")</f>
        <v>4038.2186000000002</v>
      </c>
      <c r="O12" s="16">
        <f>_xll.BDH("AMZN US Equity","HISTORICAL_MARKET_CAP","FQ1 2002","FQ1 2002","Currency=USD","Period=FQ","BEST_FPERIOD_OVERRIDE=FQ","FILING_STATUS=OR","SCALING_FORMAT=MLN","Sort=A","Dates=H","DateFormat=P","Fill=—","Direction=H","UseDPDF=Y")</f>
        <v>5364.0587999999998</v>
      </c>
      <c r="P12" s="16">
        <f>_xll.BDH("AMZN US Equity","HISTORICAL_MARKET_CAP","FQ2 2002","FQ2 2002","Currency=USD","Period=FQ","BEST_FPERIOD_OVERRIDE=FQ","FILING_STATUS=OR","SCALING_FORMAT=MLN","Sort=A","Dates=H","DateFormat=P","Fill=—","Direction=H","UseDPDF=Y")</f>
        <v>6179.9398000000001</v>
      </c>
      <c r="Q12" s="16">
        <f>_xll.BDH("AMZN US Equity","HISTORICAL_MARKET_CAP","FQ3 2002","FQ3 2002","Currency=USD","Period=FQ","BEST_FPERIOD_OVERRIDE=FQ","FILING_STATUS=OR","SCALING_FORMAT=MLN","Sort=A","Dates=H","DateFormat=P","Fill=—","Direction=H","UseDPDF=Y")</f>
        <v>6072.7709000000004</v>
      </c>
      <c r="R12" s="16">
        <f>_xll.BDH("AMZN US Equity","HISTORICAL_MARKET_CAP","FQ4 2002","FQ4 2002","Currency=USD","Period=FQ","BEST_FPERIOD_OVERRIDE=FQ","FILING_STATUS=OR","SCALING_FORMAT=MLN","Sort=A","Dates=H","DateFormat=P","Fill=—","Direction=H","UseDPDF=Y")</f>
        <v>7327.5445</v>
      </c>
      <c r="S12" s="16">
        <f>_xll.BDH("AMZN US Equity","HISTORICAL_MARKET_CAP","FQ1 2003","FQ1 2003","Currency=USD","Period=FQ","BEST_FPERIOD_OVERRIDE=FQ","FILING_STATUS=OR","SCALING_FORMAT=MLN","Sort=A","Dates=H","DateFormat=P","Fill=—","Direction=H","UseDPDF=Y")</f>
        <v>10193.5825</v>
      </c>
      <c r="T12" s="16">
        <f>_xll.BDH("AMZN US Equity","HISTORICAL_MARKET_CAP","FQ2 2003","FQ2 2003","Currency=USD","Period=FQ","BEST_FPERIOD_OVERRIDE=FQ","FILING_STATUS=OR","SCALING_FORMAT=MLN","Sort=A","Dates=H","DateFormat=P","Fill=—","Direction=H","UseDPDF=Y")</f>
        <v>14409.234</v>
      </c>
      <c r="U12" s="16">
        <f>_xll.BDH("AMZN US Equity","HISTORICAL_MARKET_CAP","FQ3 2003","FQ3 2003","Currency=USD","Period=FQ","BEST_FPERIOD_OVERRIDE=FQ","FILING_STATUS=OR","SCALING_FORMAT=MLN","Sort=A","Dates=H","DateFormat=P","Fill=—","Direction=H","UseDPDF=Y")</f>
        <v>19392.437300000001</v>
      </c>
      <c r="V12" s="16">
        <f>_xll.BDH("AMZN US Equity","HISTORICAL_MARKET_CAP","FQ4 2003","FQ4 2003","Currency=USD","Period=FQ","BEST_FPERIOD_OVERRIDE=FQ","FILING_STATUS=OR","SCALING_FORMAT=MLN","Sort=A","Dates=H","DateFormat=P","Fill=—","Direction=H","UseDPDF=Y")</f>
        <v>21224.487700000001</v>
      </c>
      <c r="W12" s="16">
        <f>_xll.BDH("AMZN US Equity","HISTORICAL_MARKET_CAP","FQ1 2004","FQ1 2004","Currency=USD","Period=FQ","BEST_FPERIOD_OVERRIDE=FQ","FILING_STATUS=OR","SCALING_FORMAT=MLN","Sort=A","Dates=H","DateFormat=P","Fill=—","Direction=H","UseDPDF=Y")</f>
        <v>17523.812900000001</v>
      </c>
      <c r="X12" s="16">
        <f>_xll.BDH("AMZN US Equity","HISTORICAL_MARKET_CAP","FQ2 2004","FQ2 2004","Currency=USD","Period=FQ","BEST_FPERIOD_OVERRIDE=FQ","FILING_STATUS=OR","SCALING_FORMAT=MLN","Sort=A","Dates=H","DateFormat=P","Fill=—","Direction=H","UseDPDF=Y")</f>
        <v>22125.078300000001</v>
      </c>
      <c r="Y12" s="16">
        <f>_xll.BDH("AMZN US Equity","HISTORICAL_MARKET_CAP","FQ3 2004","FQ3 2004","Currency=USD","Period=FQ","BEST_FPERIOD_OVERRIDE=FQ","FILING_STATUS=OR","SCALING_FORMAT=MLN","Sort=A","Dates=H","DateFormat=P","Fill=—","Direction=H","UseDPDF=Y")</f>
        <v>16648.978599999999</v>
      </c>
      <c r="Z12" s="16">
        <f>_xll.BDH("AMZN US Equity","HISTORICAL_MARKET_CAP","FQ4 2004","FQ4 2004","Currency=USD","Period=FQ","BEST_FPERIOD_OVERRIDE=FQ","FILING_STATUS=OR","SCALING_FORMAT=MLN","Sort=A","Dates=H","DateFormat=P","Fill=—","Direction=H","UseDPDF=Y")</f>
        <v>18146.1001</v>
      </c>
      <c r="AA12" s="16">
        <f>_xll.BDH("AMZN US Equity","HISTORICAL_MARKET_CAP","FQ1 2005","FQ1 2005","Currency=USD","Period=FQ","BEST_FPERIOD_OVERRIDE=FQ","FILING_STATUS=OR","SCALING_FORMAT=MLN","Sort=A","Dates=H","DateFormat=P","Fill=—","Direction=H","UseDPDF=Y")</f>
        <v>14084.97</v>
      </c>
      <c r="AB12" s="16">
        <f>_xll.BDH("AMZN US Equity","HISTORICAL_MARKET_CAP","FQ2 2005","FQ2 2005","Currency=USD","Period=FQ","BEST_FPERIOD_OVERRIDE=FQ","FILING_STATUS=OR","SCALING_FORMAT=MLN","Sort=A","Dates=H","DateFormat=P","Fill=—","Direction=H","UseDPDF=Y")</f>
        <v>13633.08</v>
      </c>
      <c r="AC12" s="16">
        <f>_xll.BDH("AMZN US Equity","HISTORICAL_MARKET_CAP","FQ3 2005","FQ3 2005","Currency=USD","Period=FQ","BEST_FPERIOD_OVERRIDE=FQ","FILING_STATUS=OR","SCALING_FORMAT=MLN","Sort=A","Dates=H","DateFormat=P","Fill=—","Direction=H","UseDPDF=Y")</f>
        <v>18754.2</v>
      </c>
      <c r="AD12" s="16">
        <f>_xll.BDH("AMZN US Equity","HISTORICAL_MARKET_CAP","FQ4 2005","FQ4 2005","Currency=USD","Period=FQ","BEST_FPERIOD_OVERRIDE=FQ","FILING_STATUS=OR","SCALING_FORMAT=MLN","Sort=A","Dates=H","DateFormat=P","Fill=—","Direction=H","UseDPDF=Y")</f>
        <v>19614.400000000001</v>
      </c>
      <c r="AE12" s="16">
        <f>_xll.BDH("AMZN US Equity","HISTORICAL_MARKET_CAP","FQ1 2006","FQ1 2006","Currency=USD","Period=FQ","BEST_FPERIOD_OVERRIDE=FQ","FILING_STATUS=OR","SCALING_FORMAT=MLN","Sort=A","Dates=H","DateFormat=P","Fill=—","Direction=H","UseDPDF=Y")</f>
        <v>15233.01</v>
      </c>
      <c r="AF12" s="16">
        <f>_xll.BDH("AMZN US Equity","HISTORICAL_MARKET_CAP","FQ2 2006","FQ2 2006","Currency=USD","Period=FQ","BEST_FPERIOD_OVERRIDE=FQ","FILING_STATUS=OR","SCALING_FORMAT=MLN","Sort=A","Dates=H","DateFormat=P","Fill=—","Direction=H","UseDPDF=Y")</f>
        <v>16206.92</v>
      </c>
      <c r="AG12" s="16">
        <f>_xll.BDH("AMZN US Equity","HISTORICAL_MARKET_CAP","FQ3 2006","FQ3 2006","Currency=USD","Period=FQ","BEST_FPERIOD_OVERRIDE=FQ","FILING_STATUS=OR","SCALING_FORMAT=MLN","Sort=A","Dates=H","DateFormat=P","Fill=—","Direction=H","UseDPDF=Y")</f>
        <v>13201.32</v>
      </c>
      <c r="AH12" s="16">
        <f>_xll.BDH("AMZN US Equity","HISTORICAL_MARKET_CAP","FQ4 2006","FQ4 2006","Currency=USD","Period=FQ","BEST_FPERIOD_OVERRIDE=FQ","FILING_STATUS=OR","SCALING_FORMAT=MLN","Sort=A","Dates=H","DateFormat=P","Fill=—","Direction=H","UseDPDF=Y")</f>
        <v>16336.44</v>
      </c>
      <c r="AI12" s="16">
        <f>_xll.BDH("AMZN US Equity","HISTORICAL_MARKET_CAP","FQ1 2007","FQ1 2007","Currency=USD","Period=FQ","BEST_FPERIOD_OVERRIDE=FQ","FILING_STATUS=OR","SCALING_FORMAT=MLN","Sort=A","Dates=H","DateFormat=P","Fill=—","Direction=H","UseDPDF=Y")</f>
        <v>16274.11</v>
      </c>
      <c r="AJ12" s="16">
        <f>_xll.BDH("AMZN US Equity","HISTORICAL_MARKET_CAP","FQ2 2007","FQ2 2007","Currency=USD","Period=FQ","BEST_FPERIOD_OVERRIDE=FQ","FILING_STATUS=OR","SCALING_FORMAT=MLN","Sort=A","Dates=H","DateFormat=P","Fill=—","Direction=H","UseDPDF=Y")</f>
        <v>28253.33</v>
      </c>
      <c r="AK12" s="16">
        <f>_xll.BDH("AMZN US Equity","HISTORICAL_MARKET_CAP","FQ3 2007","FQ3 2007","Currency=USD","Period=FQ","BEST_FPERIOD_OVERRIDE=FQ","FILING_STATUS=OR","SCALING_FORMAT=MLN","Sort=A","Dates=H","DateFormat=P","Fill=—","Direction=H","UseDPDF=Y")</f>
        <v>38657.25</v>
      </c>
      <c r="AL12" s="16">
        <f>_xll.BDH("AMZN US Equity","HISTORICAL_MARKET_CAP","FQ4 2007","FQ4 2007","Currency=USD","Period=FQ","BEST_FPERIOD_OVERRIDE=FQ","FILING_STATUS=OR","SCALING_FORMAT=MLN","Sort=A","Dates=H","DateFormat=P","Fill=—","Direction=H","UseDPDF=Y")</f>
        <v>39927.839999999997</v>
      </c>
      <c r="AM12" s="16">
        <f>_xll.BDH("AMZN US Equity","HISTORICAL_MARKET_CAP","FQ1 2008","FQ1 2008","Currency=USD","Period=FQ","BEST_FPERIOD_OVERRIDE=FQ","FILING_STATUS=OR","SCALING_FORMAT=MLN","Sort=A","Dates=H","DateFormat=P","Fill=—","Direction=H","UseDPDF=Y")</f>
        <v>29732.1</v>
      </c>
      <c r="AN12" s="16">
        <f>_xll.BDH("AMZN US Equity","HISTORICAL_MARKET_CAP","FQ2 2008","FQ2 2008","Currency=USD","Period=FQ","BEST_FPERIOD_OVERRIDE=FQ","FILING_STATUS=OR","SCALING_FORMAT=MLN","Sort=A","Dates=H","DateFormat=P","Fill=—","Direction=H","UseDPDF=Y")</f>
        <v>31238.58</v>
      </c>
      <c r="AO12" s="16">
        <f>_xll.BDH("AMZN US Equity","HISTORICAL_MARKET_CAP","FQ3 2008","FQ3 2008","Currency=USD","Period=FQ","BEST_FPERIOD_OVERRIDE=FQ","FILING_STATUS=OR","SCALING_FORMAT=MLN","Sort=A","Dates=H","DateFormat=P","Fill=—","Direction=H","UseDPDF=Y")</f>
        <v>31214.04</v>
      </c>
      <c r="AP12" s="16">
        <f>_xll.BDH("AMZN US Equity","HISTORICAL_MARKET_CAP","FQ4 2008","FQ4 2008","Currency=USD","Period=FQ","BEST_FPERIOD_OVERRIDE=FQ","FILING_STATUS=OR","SCALING_FORMAT=MLN","Sort=A","Dates=H","DateFormat=P","Fill=—","Direction=H","UseDPDF=Y")</f>
        <v>21947.84</v>
      </c>
    </row>
    <row r="13" spans="1:42" x14ac:dyDescent="0.25">
      <c r="A13" s="10" t="s">
        <v>409</v>
      </c>
      <c r="B13" s="10" t="s">
        <v>410</v>
      </c>
      <c r="C13" s="14">
        <f>_xll.BDH("AMZN US Equity","EQY_SH_OUT","FQ1 1999","FQ1 1999","Currency=USD","Period=FQ","BEST_FPERIOD_OVERRIDE=FQ","FILING_STATUS=OR","Sort=A","Dates=H","DateFormat=P","Fill=—","Direction=H","UseDPDF=Y")</f>
        <v>318.53399999999999</v>
      </c>
      <c r="D13" s="14">
        <f>_xll.BDH("AMZN US Equity","EQY_SH_OUT","FQ2 1999","FQ2 1999","Currency=USD","Period=FQ","BEST_FPERIOD_OVERRIDE=FQ","FILING_STATUS=OR","Sort=A","Dates=H","DateFormat=P","Fill=—","Direction=H","UseDPDF=Y")</f>
        <v>322.74200000000002</v>
      </c>
      <c r="E13" s="14">
        <f>_xll.BDH("AMZN US Equity","EQY_SH_OUT","FQ3 1999","FQ3 1999","Currency=USD","Period=FQ","BEST_FPERIOD_OVERRIDE=FQ","FILING_STATUS=OR","Sort=A","Dates=H","DateFormat=P","Fill=—","Direction=H","UseDPDF=Y")</f>
        <v>336.30599999999998</v>
      </c>
      <c r="F13" s="14">
        <f>_xll.BDH("AMZN US Equity","EQY_SH_OUT","FQ4 1999","FQ4 1999","Currency=USD","Period=FQ","BEST_FPERIOD_OVERRIDE=FQ","FILING_STATUS=OR","Sort=A","Dates=H","DateFormat=P","Fill=—","Direction=H","UseDPDF=Y")</f>
        <v>340.78699999999998</v>
      </c>
      <c r="G13" s="14">
        <f>_xll.BDH("AMZN US Equity","EQY_SH_OUT","FQ1 2000","FQ1 2000","Currency=USD","Period=FQ","BEST_FPERIOD_OVERRIDE=FQ","FILING_STATUS=OR","Sort=A","Dates=H","DateFormat=P","Fill=—","Direction=H","UseDPDF=Y")</f>
        <v>345.15499999999997</v>
      </c>
      <c r="H13" s="14">
        <f>_xll.BDH("AMZN US Equity","EQY_SH_OUT","FQ2 2000","FQ2 2000","Currency=USD","Period=FQ","BEST_FPERIOD_OVERRIDE=FQ","FILING_STATUS=OR","Sort=A","Dates=H","DateFormat=P","Fill=—","Direction=H","UseDPDF=Y")</f>
        <v>351.774</v>
      </c>
      <c r="I13" s="14">
        <f>_xll.BDH("AMZN US Equity","EQY_SH_OUT","FQ3 2000","FQ3 2000","Currency=USD","Period=FQ","BEST_FPERIOD_OVERRIDE=FQ","FILING_STATUS=OR","Sort=A","Dates=H","DateFormat=P","Fill=—","Direction=H","UseDPDF=Y")</f>
        <v>355.86399999999998</v>
      </c>
      <c r="J13" s="14">
        <f>_xll.BDH("AMZN US Equity","EQY_SH_OUT","FQ4 2000","FQ4 2000","Currency=USD","Period=FQ","BEST_FPERIOD_OVERRIDE=FQ","FILING_STATUS=OR","Sort=A","Dates=H","DateFormat=P","Fill=—","Direction=H","UseDPDF=Y")</f>
        <v>356.17399999999998</v>
      </c>
      <c r="K13" s="14">
        <f>_xll.BDH("AMZN US Equity","EQY_SH_OUT","FQ1 2001","FQ1 2001","Currency=USD","Period=FQ","BEST_FPERIOD_OVERRIDE=FQ","FILING_STATUS=OR","Sort=A","Dates=H","DateFormat=P","Fill=—","Direction=H","UseDPDF=Y")</f>
        <v>358.55500000000001</v>
      </c>
      <c r="L13" s="14">
        <f>_xll.BDH("AMZN US Equity","EQY_SH_OUT","FQ2 2001","FQ2 2001","Currency=USD","Period=FQ","BEST_FPERIOD_OVERRIDE=FQ","FILING_STATUS=OR","Sort=A","Dates=H","DateFormat=P","Fill=—","Direction=H","UseDPDF=Y")</f>
        <v>359.19099999999997</v>
      </c>
      <c r="M13" s="14">
        <f>_xll.BDH("AMZN US Equity","EQY_SH_OUT","FQ3 2001","FQ3 2001","Currency=USD","Period=FQ","BEST_FPERIOD_OVERRIDE=FQ","FILING_STATUS=OR","Sort=A","Dates=H","DateFormat=P","Fill=—","Direction=H","UseDPDF=Y")</f>
        <v>370.98099999999999</v>
      </c>
      <c r="N13" s="14">
        <f>_xll.BDH("AMZN US Equity","EQY_SH_OUT","FQ4 2001","FQ4 2001","Currency=USD","Period=FQ","BEST_FPERIOD_OVERRIDE=FQ","FILING_STATUS=OR","Sort=A","Dates=H","DateFormat=P","Fill=—","Direction=H","UseDPDF=Y")</f>
        <v>371.75299999999999</v>
      </c>
      <c r="O13" s="14">
        <f>_xll.BDH("AMZN US Equity","EQY_SH_OUT","FQ1 2002","FQ1 2002","Currency=USD","Period=FQ","BEST_FPERIOD_OVERRIDE=FQ","FILING_STATUS=OR","Sort=A","Dates=H","DateFormat=P","Fill=—","Direction=H","UseDPDF=Y")</f>
        <v>373.291</v>
      </c>
      <c r="P13" s="14">
        <f>_xll.BDH("AMZN US Equity","EQY_SH_OUT","FQ2 2002","FQ2 2002","Currency=USD","Period=FQ","BEST_FPERIOD_OVERRIDE=FQ","FILING_STATUS=OR","Sort=A","Dates=H","DateFormat=P","Fill=—","Direction=H","UseDPDF=Y")</f>
        <v>375.07499999999999</v>
      </c>
      <c r="Q13" s="14">
        <f>_xll.BDH("AMZN US Equity","EQY_SH_OUT","FQ3 2002","FQ3 2002","Currency=USD","Period=FQ","BEST_FPERIOD_OVERRIDE=FQ","FILING_STATUS=OR","Sort=A","Dates=H","DateFormat=P","Fill=—","Direction=H","UseDPDF=Y")</f>
        <v>380.46899999999999</v>
      </c>
      <c r="R13" s="14">
        <f>_xll.BDH("AMZN US Equity","EQY_SH_OUT","FQ4 2002","FQ4 2002","Currency=USD","Period=FQ","BEST_FPERIOD_OVERRIDE=FQ","FILING_STATUS=OR","Sort=A","Dates=H","DateFormat=P","Fill=—","Direction=H","UseDPDF=Y")</f>
        <v>381.46600000000001</v>
      </c>
      <c r="S13" s="14">
        <f>_xll.BDH("AMZN US Equity","EQY_SH_OUT","FQ1 2003","FQ1 2003","Currency=USD","Period=FQ","BEST_FPERIOD_OVERRIDE=FQ","FILING_STATUS=OR","Sort=A","Dates=H","DateFormat=P","Fill=—","Direction=H","UseDPDF=Y")</f>
        <v>388.24299999999999</v>
      </c>
      <c r="T13" s="14">
        <f>_xll.BDH("AMZN US Equity","EQY_SH_OUT","FQ2 2003","FQ2 2003","Currency=USD","Period=FQ","BEST_FPERIOD_OVERRIDE=FQ","FILING_STATUS=OR","Sort=A","Dates=H","DateFormat=P","Fill=—","Direction=H","UseDPDF=Y")</f>
        <v>391.71899999999999</v>
      </c>
      <c r="U13" s="14">
        <f>_xll.BDH("AMZN US Equity","EQY_SH_OUT","FQ3 2003","FQ3 2003","Currency=USD","Period=FQ","BEST_FPERIOD_OVERRIDE=FQ","FILING_STATUS=OR","Sort=A","Dates=H","DateFormat=P","Fill=—","Direction=H","UseDPDF=Y")</f>
        <v>396.988</v>
      </c>
      <c r="V13" s="14">
        <f>_xll.BDH("AMZN US Equity","EQY_SH_OUT","FQ4 2003","FQ4 2003","Currency=USD","Period=FQ","BEST_FPERIOD_OVERRIDE=FQ","FILING_STATUS=OR","Sort=A","Dates=H","DateFormat=P","Fill=—","Direction=H","UseDPDF=Y")</f>
        <v>401.07600000000002</v>
      </c>
      <c r="W13" s="14">
        <f>_xll.BDH("AMZN US Equity","EQY_SH_OUT","FQ1 2004","FQ1 2004","Currency=USD","Period=FQ","BEST_FPERIOD_OVERRIDE=FQ","FILING_STATUS=OR","Sort=A","Dates=H","DateFormat=P","Fill=—","Direction=H","UseDPDF=Y")</f>
        <v>404.33100000000002</v>
      </c>
      <c r="X13" s="14">
        <f>_xll.BDH("AMZN US Equity","EQY_SH_OUT","FQ2 2004","FQ2 2004","Currency=USD","Period=FQ","BEST_FPERIOD_OVERRIDE=FQ","FILING_STATUS=OR","Sort=A","Dates=H","DateFormat=P","Fill=—","Direction=H","UseDPDF=Y")</f>
        <v>405.02499999999998</v>
      </c>
      <c r="Y13" s="14">
        <f>_xll.BDH("AMZN US Equity","EQY_SH_OUT","FQ3 2004","FQ3 2004","Currency=USD","Period=FQ","BEST_FPERIOD_OVERRIDE=FQ","FILING_STATUS=OR","Sort=A","Dates=H","DateFormat=P","Fill=—","Direction=H","UseDPDF=Y")</f>
        <v>406.86099999999999</v>
      </c>
      <c r="Z13" s="14">
        <f>_xll.BDH("AMZN US Equity","EQY_SH_OUT","FQ4 2004","FQ4 2004","Currency=USD","Period=FQ","BEST_FPERIOD_OVERRIDE=FQ","FILING_STATUS=OR","Sort=A","Dates=H","DateFormat=P","Fill=—","Direction=H","UseDPDF=Y")</f>
        <v>408.05200000000002</v>
      </c>
      <c r="AA13" s="14">
        <f>_xll.BDH("AMZN US Equity","EQY_SH_OUT","FQ1 2005","FQ1 2005","Currency=USD","Period=FQ","BEST_FPERIOD_OVERRIDE=FQ","FILING_STATUS=OR","Sort=A","Dates=H","DateFormat=P","Fill=—","Direction=H","UseDPDF=Y")</f>
        <v>410.57</v>
      </c>
      <c r="AB13" s="14">
        <f>_xll.BDH("AMZN US Equity","EQY_SH_OUT","FQ2 2005","FQ2 2005","Currency=USD","Period=FQ","BEST_FPERIOD_OVERRIDE=FQ","FILING_STATUS=OR","Sort=A","Dates=H","DateFormat=P","Fill=—","Direction=H","UseDPDF=Y")</f>
        <v>410.89</v>
      </c>
      <c r="AC13" s="14">
        <f>_xll.BDH("AMZN US Equity","EQY_SH_OUT","FQ3 2005","FQ3 2005","Currency=USD","Period=FQ","BEST_FPERIOD_OVERRIDE=FQ","FILING_STATUS=OR","Sort=A","Dates=H","DateFormat=P","Fill=—","Direction=H","UseDPDF=Y")</f>
        <v>411.91300000000001</v>
      </c>
      <c r="AD13" s="14">
        <f>_xll.BDH("AMZN US Equity","EQY_SH_OUT","FQ4 2005","FQ4 2005","Currency=USD","Period=FQ","BEST_FPERIOD_OVERRIDE=FQ","FILING_STATUS=OR","Sort=A","Dates=H","DateFormat=P","Fill=—","Direction=H","UseDPDF=Y")</f>
        <v>414.47300000000001</v>
      </c>
      <c r="AE13" s="14">
        <f>_xll.BDH("AMZN US Equity","EQY_SH_OUT","FQ1 2006","FQ1 2006","Currency=USD","Period=FQ","BEST_FPERIOD_OVERRIDE=FQ","FILING_STATUS=OR","Sort=A","Dates=H","DateFormat=P","Fill=—","Direction=H","UseDPDF=Y")</f>
        <v>416.923</v>
      </c>
      <c r="AF13" s="14">
        <f>_xll.BDH("AMZN US Equity","EQY_SH_OUT","FQ2 2006","FQ2 2006","Currency=USD","Period=FQ","BEST_FPERIOD_OVERRIDE=FQ","FILING_STATUS=OR","Sort=A","Dates=H","DateFormat=P","Fill=—","Direction=H","UseDPDF=Y")</f>
        <v>417.86500000000001</v>
      </c>
      <c r="AG13" s="14">
        <f>_xll.BDH("AMZN US Equity","EQY_SH_OUT","FQ3 2006","FQ3 2006","Currency=USD","Period=FQ","BEST_FPERIOD_OVERRIDE=FQ","FILING_STATUS=OR","Sort=A","Dates=H","DateFormat=P","Fill=—","Direction=H","UseDPDF=Y")</f>
        <v>418.94299999999998</v>
      </c>
      <c r="AH13" s="14">
        <f>_xll.BDH("AMZN US Equity","EQY_SH_OUT","FQ4 2006","FQ4 2006","Currency=USD","Period=FQ","BEST_FPERIOD_OVERRIDE=FQ","FILING_STATUS=OR","Sort=A","Dates=H","DateFormat=P","Fill=—","Direction=H","UseDPDF=Y")</f>
        <v>411.92200000000003</v>
      </c>
      <c r="AI13" s="14">
        <f>_xll.BDH("AMZN US Equity","EQY_SH_OUT","FQ1 2007","FQ1 2007","Currency=USD","Period=FQ","BEST_FPERIOD_OVERRIDE=FQ","FILING_STATUS=OR","Sort=A","Dates=H","DateFormat=P","Fill=—","Direction=H","UseDPDF=Y")</f>
        <v>414.67899999999997</v>
      </c>
      <c r="AJ13" s="14">
        <f>_xll.BDH("AMZN US Equity","EQY_SH_OUT","FQ2 2007","FQ2 2007","Currency=USD","Period=FQ","BEST_FPERIOD_OVERRIDE=FQ","FILING_STATUS=OR","Sort=A","Dates=H","DateFormat=P","Fill=—","Direction=H","UseDPDF=Y")</f>
        <v>409.69799999999998</v>
      </c>
      <c r="AK13" s="14">
        <f>_xll.BDH("AMZN US Equity","EQY_SH_OUT","FQ3 2007","FQ3 2007","Currency=USD","Period=FQ","BEST_FPERIOD_OVERRIDE=FQ","FILING_STATUS=OR","Sort=A","Dates=H","DateFormat=P","Fill=—","Direction=H","UseDPDF=Y")</f>
        <v>413.399</v>
      </c>
      <c r="AL13" s="14">
        <f>_xll.BDH("AMZN US Equity","EQY_SH_OUT","FQ4 2007","FQ4 2007","Currency=USD","Period=FQ","BEST_FPERIOD_OVERRIDE=FQ","FILING_STATUS=OR","Sort=A","Dates=H","DateFormat=P","Fill=—","Direction=H","UseDPDF=Y")</f>
        <v>415.17700000000002</v>
      </c>
      <c r="AM13" s="14">
        <f>_xll.BDH("AMZN US Equity","EQY_SH_OUT","FQ1 2008","FQ1 2008","Currency=USD","Period=FQ","BEST_FPERIOD_OVERRIDE=FQ","FILING_STATUS=OR","Sort=A","Dates=H","DateFormat=P","Fill=—","Direction=H","UseDPDF=Y")</f>
        <v>416.81799999999998</v>
      </c>
      <c r="AN13" s="14">
        <f>_xll.BDH("AMZN US Equity","EQY_SH_OUT","FQ2 2008","FQ2 2008","Currency=USD","Period=FQ","BEST_FPERIOD_OVERRIDE=FQ","FILING_STATUS=OR","Sort=A","Dates=H","DateFormat=P","Fill=—","Direction=H","UseDPDF=Y")</f>
        <v>417.68</v>
      </c>
      <c r="AO13" s="14">
        <f>_xll.BDH("AMZN US Equity","EQY_SH_OUT","FQ3 2008","FQ3 2008","Currency=USD","Period=FQ","BEST_FPERIOD_OVERRIDE=FQ","FILING_STATUS=OR","Sort=A","Dates=H","DateFormat=P","Fill=—","Direction=H","UseDPDF=Y")</f>
        <v>425.92099999999999</v>
      </c>
      <c r="AP13" s="14">
        <f>_xll.BDH("AMZN US Equity","EQY_SH_OUT","FQ4 2008","FQ4 2008","Currency=USD","Period=FQ","BEST_FPERIOD_OVERRIDE=FQ","FILING_STATUS=OR","Sort=A","Dates=H","DateFormat=P","Fill=—","Direction=H","UseDPDF=Y")</f>
        <v>428.83199999999999</v>
      </c>
    </row>
    <row r="14" spans="1:42" x14ac:dyDescent="0.25">
      <c r="A14" s="10" t="s">
        <v>411</v>
      </c>
      <c r="B14" s="10" t="s">
        <v>412</v>
      </c>
      <c r="C14" s="14" t="str">
        <f>_xll.BDH("AMZN US Equity","EQY_FLOAT","FQ1 1999","FQ1 1999","Currency=USD","Period=FQ","BEST_FPERIOD_OVERRIDE=FQ","FILING_STATUS=OR","Sort=A","Dates=H","DateFormat=P","Fill=—","Direction=H","UseDPDF=Y")</f>
        <v>—</v>
      </c>
      <c r="D14" s="14" t="str">
        <f>_xll.BDH("AMZN US Equity","EQY_FLOAT","FQ2 1999","FQ2 1999","Currency=USD","Period=FQ","BEST_FPERIOD_OVERRIDE=FQ","FILING_STATUS=OR","Sort=A","Dates=H","DateFormat=P","Fill=—","Direction=H","UseDPDF=Y")</f>
        <v>—</v>
      </c>
      <c r="E14" s="14" t="str">
        <f>_xll.BDH("AMZN US Equity","EQY_FLOAT","FQ3 1999","FQ3 1999","Currency=USD","Period=FQ","BEST_FPERIOD_OVERRIDE=FQ","FILING_STATUS=OR","Sort=A","Dates=H","DateFormat=P","Fill=—","Direction=H","UseDPDF=Y")</f>
        <v>—</v>
      </c>
      <c r="F14" s="14" t="str">
        <f>_xll.BDH("AMZN US Equity","EQY_FLOAT","FQ4 1999","FQ4 1999","Currency=USD","Period=FQ","BEST_FPERIOD_OVERRIDE=FQ","FILING_STATUS=OR","Sort=A","Dates=H","DateFormat=P","Fill=—","Direction=H","UseDPDF=Y")</f>
        <v>—</v>
      </c>
      <c r="G14" s="14" t="str">
        <f>_xll.BDH("AMZN US Equity","EQY_FLOAT","FQ1 2000","FQ1 2000","Currency=USD","Period=FQ","BEST_FPERIOD_OVERRIDE=FQ","FILING_STATUS=OR","Sort=A","Dates=H","DateFormat=P","Fill=—","Direction=H","UseDPDF=Y")</f>
        <v>—</v>
      </c>
      <c r="H14" s="14" t="str">
        <f>_xll.BDH("AMZN US Equity","EQY_FLOAT","FQ2 2000","FQ2 2000","Currency=USD","Period=FQ","BEST_FPERIOD_OVERRIDE=FQ","FILING_STATUS=OR","Sort=A","Dates=H","DateFormat=P","Fill=—","Direction=H","UseDPDF=Y")</f>
        <v>—</v>
      </c>
      <c r="I14" s="14" t="str">
        <f>_xll.BDH("AMZN US Equity","EQY_FLOAT","FQ3 2000","FQ3 2000","Currency=USD","Period=FQ","BEST_FPERIOD_OVERRIDE=FQ","FILING_STATUS=OR","Sort=A","Dates=H","DateFormat=P","Fill=—","Direction=H","UseDPDF=Y")</f>
        <v>—</v>
      </c>
      <c r="J14" s="14" t="str">
        <f>_xll.BDH("AMZN US Equity","EQY_FLOAT","FQ4 2000","FQ4 2000","Currency=USD","Period=FQ","BEST_FPERIOD_OVERRIDE=FQ","FILING_STATUS=OR","Sort=A","Dates=H","DateFormat=P","Fill=—","Direction=H","UseDPDF=Y")</f>
        <v>—</v>
      </c>
      <c r="K14" s="14" t="str">
        <f>_xll.BDH("AMZN US Equity","EQY_FLOAT","FQ1 2001","FQ1 2001","Currency=USD","Period=FQ","BEST_FPERIOD_OVERRIDE=FQ","FILING_STATUS=OR","Sort=A","Dates=H","DateFormat=P","Fill=—","Direction=H","UseDPDF=Y")</f>
        <v>—</v>
      </c>
      <c r="L14" s="14" t="str">
        <f>_xll.BDH("AMZN US Equity","EQY_FLOAT","FQ2 2001","FQ2 2001","Currency=USD","Period=FQ","BEST_FPERIOD_OVERRIDE=FQ","FILING_STATUS=OR","Sort=A","Dates=H","DateFormat=P","Fill=—","Direction=H","UseDPDF=Y")</f>
        <v>—</v>
      </c>
      <c r="M14" s="14" t="str">
        <f>_xll.BDH("AMZN US Equity","EQY_FLOAT","FQ3 2001","FQ3 2001","Currency=USD","Period=FQ","BEST_FPERIOD_OVERRIDE=FQ","FILING_STATUS=OR","Sort=A","Dates=H","DateFormat=P","Fill=—","Direction=H","UseDPDF=Y")</f>
        <v>—</v>
      </c>
      <c r="N14" s="14" t="str">
        <f>_xll.BDH("AMZN US Equity","EQY_FLOAT","FQ4 2001","FQ4 2001","Currency=USD","Period=FQ","BEST_FPERIOD_OVERRIDE=FQ","FILING_STATUS=OR","Sort=A","Dates=H","DateFormat=P","Fill=—","Direction=H","UseDPDF=Y")</f>
        <v>—</v>
      </c>
      <c r="O14" s="14" t="str">
        <f>_xll.BDH("AMZN US Equity","EQY_FLOAT","FQ1 2002","FQ1 2002","Currency=USD","Period=FQ","BEST_FPERIOD_OVERRIDE=FQ","FILING_STATUS=OR","Sort=A","Dates=H","DateFormat=P","Fill=—","Direction=H","UseDPDF=Y")</f>
        <v>—</v>
      </c>
      <c r="P14" s="14" t="str">
        <f>_xll.BDH("AMZN US Equity","EQY_FLOAT","FQ2 2002","FQ2 2002","Currency=USD","Period=FQ","BEST_FPERIOD_OVERRIDE=FQ","FILING_STATUS=OR","Sort=A","Dates=H","DateFormat=P","Fill=—","Direction=H","UseDPDF=Y")</f>
        <v>—</v>
      </c>
      <c r="Q14" s="14" t="str">
        <f>_xll.BDH("AMZN US Equity","EQY_FLOAT","FQ3 2002","FQ3 2002","Currency=USD","Period=FQ","BEST_FPERIOD_OVERRIDE=FQ","FILING_STATUS=OR","Sort=A","Dates=H","DateFormat=P","Fill=—","Direction=H","UseDPDF=Y")</f>
        <v>—</v>
      </c>
      <c r="R14" s="14" t="str">
        <f>_xll.BDH("AMZN US Equity","EQY_FLOAT","FQ4 2002","FQ4 2002","Currency=USD","Period=FQ","BEST_FPERIOD_OVERRIDE=FQ","FILING_STATUS=OR","Sort=A","Dates=H","DateFormat=P","Fill=—","Direction=H","UseDPDF=Y")</f>
        <v>—</v>
      </c>
      <c r="S14" s="14" t="str">
        <f>_xll.BDH("AMZN US Equity","EQY_FLOAT","FQ1 2003","FQ1 2003","Currency=USD","Period=FQ","BEST_FPERIOD_OVERRIDE=FQ","FILING_STATUS=OR","Sort=A","Dates=H","DateFormat=P","Fill=—","Direction=H","UseDPDF=Y")</f>
        <v>—</v>
      </c>
      <c r="T14" s="14" t="str">
        <f>_xll.BDH("AMZN US Equity","EQY_FLOAT","FQ2 2003","FQ2 2003","Currency=USD","Period=FQ","BEST_FPERIOD_OVERRIDE=FQ","FILING_STATUS=OR","Sort=A","Dates=H","DateFormat=P","Fill=—","Direction=H","UseDPDF=Y")</f>
        <v>—</v>
      </c>
      <c r="U14" s="14" t="str">
        <f>_xll.BDH("AMZN US Equity","EQY_FLOAT","FQ3 2003","FQ3 2003","Currency=USD","Period=FQ","BEST_FPERIOD_OVERRIDE=FQ","FILING_STATUS=OR","Sort=A","Dates=H","DateFormat=P","Fill=—","Direction=H","UseDPDF=Y")</f>
        <v>—</v>
      </c>
      <c r="V14" s="14">
        <f>_xll.BDH("AMZN US Equity","EQY_FLOAT","FQ4 2003","FQ4 2003","Currency=USD","Period=FQ","BEST_FPERIOD_OVERRIDE=FQ","FILING_STATUS=OR","Sort=A","Dates=H","DateFormat=P","Fill=—","Direction=H","UseDPDF=Y")</f>
        <v>291.97699999999998</v>
      </c>
      <c r="W14" s="14">
        <f>_xll.BDH("AMZN US Equity","EQY_FLOAT","FQ1 2004","FQ1 2004","Currency=USD","Period=FQ","BEST_FPERIOD_OVERRIDE=FQ","FILING_STATUS=OR","Sort=A","Dates=H","DateFormat=P","Fill=—","Direction=H","UseDPDF=Y")</f>
        <v>296.23899999999998</v>
      </c>
      <c r="X14" s="14">
        <f>_xll.BDH("AMZN US Equity","EQY_FLOAT","FQ2 2004","FQ2 2004","Currency=USD","Period=FQ","BEST_FPERIOD_OVERRIDE=FQ","FILING_STATUS=OR","Sort=A","Dates=H","DateFormat=P","Fill=—","Direction=H","UseDPDF=Y")</f>
        <v>297.96199999999999</v>
      </c>
      <c r="Y14" s="14">
        <f>_xll.BDH("AMZN US Equity","EQY_FLOAT","FQ3 2004","FQ3 2004","Currency=USD","Period=FQ","BEST_FPERIOD_OVERRIDE=FQ","FILING_STATUS=OR","Sort=A","Dates=H","DateFormat=P","Fill=—","Direction=H","UseDPDF=Y")</f>
        <v>300.73</v>
      </c>
      <c r="Z14" s="14">
        <f>_xll.BDH("AMZN US Equity","EQY_FLOAT","FQ4 2004","FQ4 2004","Currency=USD","Period=FQ","BEST_FPERIOD_OVERRIDE=FQ","FILING_STATUS=OR","Sort=A","Dates=H","DateFormat=P","Fill=—","Direction=H","UseDPDF=Y")</f>
        <v>302.798</v>
      </c>
      <c r="AA14" s="14">
        <f>_xll.BDH("AMZN US Equity","EQY_FLOAT","FQ1 2005","FQ1 2005","Currency=USD","Period=FQ","BEST_FPERIOD_OVERRIDE=FQ","FILING_STATUS=OR","Sort=A","Dates=H","DateFormat=P","Fill=—","Direction=H","UseDPDF=Y")</f>
        <v>305.31200000000001</v>
      </c>
      <c r="AB14" s="14">
        <f>_xll.BDH("AMZN US Equity","EQY_FLOAT","FQ2 2005","FQ2 2005","Currency=USD","Period=FQ","BEST_FPERIOD_OVERRIDE=FQ","FILING_STATUS=OR","Sort=A","Dates=H","DateFormat=P","Fill=—","Direction=H","UseDPDF=Y")</f>
        <v>305.71100000000001</v>
      </c>
      <c r="AC14" s="14">
        <f>_xll.BDH("AMZN US Equity","EQY_FLOAT","FQ3 2005","FQ3 2005","Currency=USD","Period=FQ","BEST_FPERIOD_OVERRIDE=FQ","FILING_STATUS=OR","Sort=A","Dates=H","DateFormat=P","Fill=—","Direction=H","UseDPDF=Y")</f>
        <v>306.79199999999997</v>
      </c>
      <c r="AD14" s="14">
        <f>_xll.BDH("AMZN US Equity","EQY_FLOAT","FQ4 2005","FQ4 2005","Currency=USD","Period=FQ","BEST_FPERIOD_OVERRIDE=FQ","FILING_STATUS=OR","Sort=A","Dates=H","DateFormat=P","Fill=—","Direction=H","UseDPDF=Y")</f>
        <v>309.32499999999999</v>
      </c>
      <c r="AE14" s="14">
        <f>_xll.BDH("AMZN US Equity","EQY_FLOAT","FQ1 2006","FQ1 2006","Currency=USD","Period=FQ","BEST_FPERIOD_OVERRIDE=FQ","FILING_STATUS=OR","Sort=A","Dates=H","DateFormat=P","Fill=—","Direction=H","UseDPDF=Y")</f>
        <v>311.798</v>
      </c>
      <c r="AF14" s="14">
        <f>_xll.BDH("AMZN US Equity","EQY_FLOAT","FQ2 2006","FQ2 2006","Currency=USD","Period=FQ","BEST_FPERIOD_OVERRIDE=FQ","FILING_STATUS=OR","Sort=A","Dates=H","DateFormat=P","Fill=—","Direction=H","UseDPDF=Y")</f>
        <v>312.8</v>
      </c>
      <c r="AG14" s="14">
        <f>_xll.BDH("AMZN US Equity","EQY_FLOAT","FQ3 2006","FQ3 2006","Currency=USD","Period=FQ","BEST_FPERIOD_OVERRIDE=FQ","FILING_STATUS=OR","Sort=A","Dates=H","DateFormat=P","Fill=—","Direction=H","UseDPDF=Y")</f>
        <v>313.91300000000001</v>
      </c>
      <c r="AH14" s="14">
        <f>_xll.BDH("AMZN US Equity","EQY_FLOAT","FQ4 2006","FQ4 2006","Currency=USD","Period=FQ","BEST_FPERIOD_OVERRIDE=FQ","FILING_STATUS=OR","Sort=A","Dates=H","DateFormat=P","Fill=—","Direction=H","UseDPDF=Y")</f>
        <v>306.81700000000001</v>
      </c>
      <c r="AI14" s="14">
        <f>_xll.BDH("AMZN US Equity","EQY_FLOAT","FQ1 2007","FQ1 2007","Currency=USD","Period=FQ","BEST_FPERIOD_OVERRIDE=FQ","FILING_STATUS=OR","Sort=A","Dates=H","DateFormat=P","Fill=—","Direction=H","UseDPDF=Y")</f>
        <v>309.58100000000002</v>
      </c>
      <c r="AJ14" s="14">
        <f>_xll.BDH("AMZN US Equity","EQY_FLOAT","FQ2 2007","FQ2 2007","Currency=USD","Period=FQ","BEST_FPERIOD_OVERRIDE=FQ","FILING_STATUS=OR","Sort=A","Dates=H","DateFormat=P","Fill=—","Direction=H","UseDPDF=Y")</f>
        <v>304.67899999999997</v>
      </c>
      <c r="AK14" s="14">
        <f>_xll.BDH("AMZN US Equity","EQY_FLOAT","FQ3 2007","FQ3 2007","Currency=USD","Period=FQ","BEST_FPERIOD_OVERRIDE=FQ","FILING_STATUS=OR","Sort=A","Dates=H","DateFormat=P","Fill=—","Direction=H","UseDPDF=Y")</f>
        <v>308.827</v>
      </c>
      <c r="AL14" s="14">
        <f>_xll.BDH("AMZN US Equity","EQY_FLOAT","FQ4 2007","FQ4 2007","Currency=USD","Period=FQ","BEST_FPERIOD_OVERRIDE=FQ","FILING_STATUS=OR","Sort=A","Dates=H","DateFormat=P","Fill=—","Direction=H","UseDPDF=Y")</f>
        <v>310.56299999999999</v>
      </c>
      <c r="AM14" s="14">
        <f>_xll.BDH("AMZN US Equity","EQY_FLOAT","FQ1 2008","FQ1 2008","Currency=USD","Period=FQ","BEST_FPERIOD_OVERRIDE=FQ","FILING_STATUS=OR","Sort=A","Dates=H","DateFormat=P","Fill=—","Direction=H","UseDPDF=Y")</f>
        <v>314.05900000000003</v>
      </c>
      <c r="AN14" s="14">
        <f>_xll.BDH("AMZN US Equity","EQY_FLOAT","FQ2 2008","FQ2 2008","Currency=USD","Period=FQ","BEST_FPERIOD_OVERRIDE=FQ","FILING_STATUS=OR","Sort=A","Dates=H","DateFormat=P","Fill=—","Direction=H","UseDPDF=Y")</f>
        <v>317.02699999999999</v>
      </c>
      <c r="AO14" s="14">
        <f>_xll.BDH("AMZN US Equity","EQY_FLOAT","FQ3 2008","FQ3 2008","Currency=USD","Period=FQ","BEST_FPERIOD_OVERRIDE=FQ","FILING_STATUS=OR","Sort=A","Dates=H","DateFormat=P","Fill=—","Direction=H","UseDPDF=Y")</f>
        <v>325.26799999999997</v>
      </c>
      <c r="AP14" s="14">
        <f>_xll.BDH("AMZN US Equity","EQY_FLOAT","FQ4 2008","FQ4 2008","Currency=USD","Period=FQ","BEST_FPERIOD_OVERRIDE=FQ","FILING_STATUS=OR","Sort=A","Dates=H","DateFormat=P","Fill=—","Direction=H","UseDPDF=Y")</f>
        <v>328.06200000000001</v>
      </c>
    </row>
    <row r="15" spans="1:42" x14ac:dyDescent="0.25">
      <c r="A15" s="7" t="s">
        <v>177</v>
      </c>
      <c r="B15" s="7"/>
      <c r="C15" s="7" t="s">
        <v>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2018-10-23T15:04:02Z</dcterms:modified>
</cp:coreProperties>
</file>